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31" lockStructure="1"/>
  <bookViews>
    <workbookView xWindow="0" yWindow="0" windowWidth="15585" windowHeight="11025" tabRatio="727"/>
  </bookViews>
  <sheets>
    <sheet name="Basic Cost Length Information" sheetId="12" r:id="rId1"/>
    <sheet name="4D21 Same Length" sheetId="1" state="hidden" r:id="rId2"/>
    <sheet name="4D21 One Half Length" sheetId="11" state="hidden" r:id="rId3"/>
    <sheet name="4D22 Same Length" sheetId="9" state="hidden" r:id="rId4"/>
    <sheet name="4D22 One Half Length" sheetId="10" state="hidden" r:id="rId5"/>
    <sheet name="Sheet2" sheetId="6" state="hidden" r:id="rId6"/>
    <sheet name="Contractor Information" sheetId="13" r:id="rId7"/>
    <sheet name="Reference Data_SS 15" sheetId="14" r:id="rId8"/>
  </sheets>
  <definedNames>
    <definedName name="_xlnm.Print_Area" localSheetId="2">'4D21 One Half Length'!$A$1:$P$34</definedName>
    <definedName name="_xlnm.Print_Area" localSheetId="1">'4D21 Same Length'!$A$1:$P$34</definedName>
    <definedName name="_xlnm.Print_Area" localSheetId="4">'4D22 One Half Length'!$A$1:$P$34</definedName>
    <definedName name="_xlnm.Print_Area" localSheetId="3">'4D22 Same Length'!$A$1:$P$34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15" i="1" s="1"/>
  <c r="F3" i="12" s="1"/>
  <c r="B7" i="1"/>
  <c r="B19" i="1" s="1"/>
  <c r="B7" i="9"/>
  <c r="B10" i="9" s="1"/>
  <c r="B7" i="10"/>
  <c r="B7" i="11"/>
  <c r="C2" i="11"/>
  <c r="C26" i="11" s="1"/>
  <c r="F6" i="12" s="1"/>
  <c r="C2" i="10"/>
  <c r="C25" i="10" s="1"/>
  <c r="C2" i="9"/>
  <c r="C14" i="9" s="1"/>
  <c r="C7" i="11"/>
  <c r="C8" i="11"/>
  <c r="C9" i="11"/>
  <c r="C10" i="11"/>
  <c r="C11" i="11"/>
  <c r="H7" i="11"/>
  <c r="I7" i="11" s="1"/>
  <c r="J7" i="11"/>
  <c r="C30" i="1"/>
  <c r="C31" i="1"/>
  <c r="C32" i="1"/>
  <c r="H7" i="1"/>
  <c r="H19" i="1" s="1"/>
  <c r="I19" i="1" s="1"/>
  <c r="J30" i="1"/>
  <c r="C19" i="11"/>
  <c r="C20" i="11"/>
  <c r="C21" i="11"/>
  <c r="C22" i="11"/>
  <c r="J19" i="11"/>
  <c r="C30" i="11"/>
  <c r="C31" i="11"/>
  <c r="C32" i="11"/>
  <c r="J30" i="11"/>
  <c r="C19" i="9"/>
  <c r="C20" i="9"/>
  <c r="C21" i="9"/>
  <c r="C22" i="9"/>
  <c r="H7" i="9"/>
  <c r="H19" i="9" s="1"/>
  <c r="I19" i="9" s="1"/>
  <c r="J19" i="9"/>
  <c r="C30" i="9"/>
  <c r="C31" i="9"/>
  <c r="C32" i="9"/>
  <c r="J30" i="9"/>
  <c r="C19" i="10"/>
  <c r="C20" i="10"/>
  <c r="C21" i="10"/>
  <c r="C22" i="10"/>
  <c r="H7" i="10"/>
  <c r="H30" i="10" s="1"/>
  <c r="I30" i="10" s="1"/>
  <c r="J19" i="10"/>
  <c r="C30" i="10"/>
  <c r="C31" i="10"/>
  <c r="C32" i="10"/>
  <c r="J30" i="10"/>
  <c r="C19" i="1"/>
  <c r="C20" i="1"/>
  <c r="C21" i="1"/>
  <c r="C22" i="1"/>
  <c r="J19" i="1"/>
  <c r="D9" i="12"/>
  <c r="D8" i="12"/>
  <c r="D10" i="12"/>
  <c r="D7" i="12"/>
  <c r="D6" i="12"/>
  <c r="D5" i="12"/>
  <c r="D4" i="12"/>
  <c r="D3" i="12"/>
  <c r="D2" i="12"/>
  <c r="C11" i="1"/>
  <c r="C10" i="1"/>
  <c r="C9" i="1"/>
  <c r="C8" i="1"/>
  <c r="C7" i="1"/>
  <c r="J7" i="1"/>
  <c r="C11" i="10"/>
  <c r="C10" i="10"/>
  <c r="C9" i="10"/>
  <c r="C8" i="10"/>
  <c r="C7" i="10"/>
  <c r="J7" i="10"/>
  <c r="J7" i="9"/>
  <c r="C11" i="9"/>
  <c r="C10" i="9"/>
  <c r="C9" i="9"/>
  <c r="C8" i="9"/>
  <c r="C7" i="9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66" i="6"/>
  <c r="C65" i="6"/>
  <c r="E83" i="6"/>
  <c r="F83" i="6"/>
  <c r="G83" i="6"/>
  <c r="E81" i="6"/>
  <c r="F81" i="6"/>
  <c r="G81" i="6"/>
  <c r="E79" i="6"/>
  <c r="F79" i="6"/>
  <c r="G79" i="6"/>
  <c r="E77" i="6"/>
  <c r="F77" i="6"/>
  <c r="G77" i="6"/>
  <c r="E75" i="6"/>
  <c r="F75" i="6"/>
  <c r="G75" i="6"/>
  <c r="E73" i="6"/>
  <c r="F73" i="6"/>
  <c r="G73" i="6"/>
  <c r="E71" i="6"/>
  <c r="F71" i="6"/>
  <c r="G71" i="6"/>
  <c r="E69" i="6"/>
  <c r="F69" i="6"/>
  <c r="G69" i="6"/>
  <c r="E67" i="6"/>
  <c r="F67" i="6"/>
  <c r="G67" i="6"/>
  <c r="E65" i="6"/>
  <c r="F65" i="6"/>
  <c r="G65" i="6"/>
  <c r="H65" i="6"/>
  <c r="E61" i="6"/>
  <c r="F61" i="6"/>
  <c r="G61" i="6"/>
  <c r="C61" i="6"/>
  <c r="E59" i="6"/>
  <c r="F59" i="6"/>
  <c r="G59" i="6"/>
  <c r="E57" i="6"/>
  <c r="F57" i="6"/>
  <c r="G57" i="6"/>
  <c r="E55" i="6"/>
  <c r="F55" i="6"/>
  <c r="G55" i="6"/>
  <c r="E53" i="6"/>
  <c r="F53" i="6"/>
  <c r="G53" i="6"/>
  <c r="E51" i="6"/>
  <c r="F51" i="6"/>
  <c r="G51" i="6"/>
  <c r="E49" i="6"/>
  <c r="F49" i="6"/>
  <c r="G49" i="6"/>
  <c r="E47" i="6"/>
  <c r="F47" i="6"/>
  <c r="G47" i="6"/>
  <c r="E45" i="6"/>
  <c r="F45" i="6"/>
  <c r="G45" i="6"/>
  <c r="E43" i="6"/>
  <c r="F43" i="6"/>
  <c r="G43" i="6"/>
  <c r="H43" i="6"/>
  <c r="C43" i="6"/>
  <c r="C37" i="6"/>
  <c r="C36" i="6"/>
  <c r="C35" i="6"/>
  <c r="C34" i="6"/>
  <c r="C33" i="6"/>
  <c r="C32" i="6"/>
  <c r="C31" i="6"/>
  <c r="C30" i="6"/>
  <c r="C29" i="6"/>
  <c r="C28" i="6"/>
  <c r="E22" i="6"/>
  <c r="F22" i="6"/>
  <c r="G22" i="6"/>
  <c r="E20" i="6"/>
  <c r="F20" i="6"/>
  <c r="G20" i="6"/>
  <c r="E18" i="6"/>
  <c r="F18" i="6"/>
  <c r="G18" i="6"/>
  <c r="E16" i="6"/>
  <c r="F16" i="6"/>
  <c r="G16" i="6"/>
  <c r="E14" i="6"/>
  <c r="F14" i="6"/>
  <c r="G14" i="6"/>
  <c r="E12" i="6"/>
  <c r="F12" i="6"/>
  <c r="G12" i="6"/>
  <c r="E10" i="6"/>
  <c r="F10" i="6"/>
  <c r="G10" i="6"/>
  <c r="E8" i="6"/>
  <c r="F8" i="6"/>
  <c r="G8" i="6"/>
  <c r="E6" i="6"/>
  <c r="F6" i="6"/>
  <c r="G6" i="6"/>
  <c r="E4" i="6"/>
  <c r="F4" i="6"/>
  <c r="G4" i="6"/>
  <c r="C4" i="6"/>
  <c r="H4" i="6"/>
  <c r="B11" i="1" l="1"/>
  <c r="D11" i="1" s="1"/>
  <c r="C26" i="9"/>
  <c r="F8" i="12" s="1"/>
  <c r="C25" i="9"/>
  <c r="C15" i="11"/>
  <c r="F5" i="12" s="1"/>
  <c r="C14" i="11"/>
  <c r="A13" i="11" s="1"/>
  <c r="C25" i="11"/>
  <c r="A24" i="11" s="1"/>
  <c r="C3" i="11"/>
  <c r="F2" i="12" s="1"/>
  <c r="D10" i="9"/>
  <c r="B11" i="10"/>
  <c r="D11" i="10" s="1"/>
  <c r="B30" i="10"/>
  <c r="D30" i="10" s="1"/>
  <c r="B19" i="10"/>
  <c r="B19" i="11"/>
  <c r="B30" i="11"/>
  <c r="B32" i="11" s="1"/>
  <c r="D32" i="11" s="1"/>
  <c r="H19" i="10"/>
  <c r="I19" i="10" s="1"/>
  <c r="B9" i="1"/>
  <c r="D9" i="1" s="1"/>
  <c r="B30" i="9"/>
  <c r="B32" i="9" s="1"/>
  <c r="D32" i="9" s="1"/>
  <c r="K7" i="1"/>
  <c r="C26" i="1"/>
  <c r="F4" i="12" s="1"/>
  <c r="C15" i="9"/>
  <c r="F7" i="12" s="1"/>
  <c r="C14" i="1"/>
  <c r="A13" i="1" s="1"/>
  <c r="H19" i="11"/>
  <c r="I19" i="11" s="1"/>
  <c r="I7" i="1"/>
  <c r="I7" i="9"/>
  <c r="H30" i="9"/>
  <c r="I30" i="9" s="1"/>
  <c r="H30" i="11"/>
  <c r="I30" i="11" s="1"/>
  <c r="H30" i="1"/>
  <c r="I30" i="1" s="1"/>
  <c r="I7" i="10"/>
  <c r="B8" i="11"/>
  <c r="D8" i="11" s="1"/>
  <c r="B10" i="11"/>
  <c r="D10" i="11" s="1"/>
  <c r="K7" i="11"/>
  <c r="L7" i="11" s="1"/>
  <c r="B11" i="11"/>
  <c r="D11" i="11" s="1"/>
  <c r="B9" i="11"/>
  <c r="D9" i="11" s="1"/>
  <c r="D7" i="11"/>
  <c r="A1" i="11"/>
  <c r="D7" i="1"/>
  <c r="C3" i="9"/>
  <c r="C14" i="10"/>
  <c r="C25" i="1"/>
  <c r="A24" i="1" s="1"/>
  <c r="A24" i="9"/>
  <c r="C3" i="1"/>
  <c r="C3" i="10"/>
  <c r="C15" i="10"/>
  <c r="C26" i="10"/>
  <c r="B9" i="10"/>
  <c r="D9" i="10" s="1"/>
  <c r="K7" i="10"/>
  <c r="A24" i="10"/>
  <c r="B8" i="9"/>
  <c r="D8" i="9" s="1"/>
  <c r="B30" i="1"/>
  <c r="B31" i="1" s="1"/>
  <c r="D31" i="1" s="1"/>
  <c r="D7" i="9"/>
  <c r="A13" i="9"/>
  <c r="B21" i="1"/>
  <c r="D21" i="1" s="1"/>
  <c r="D19" i="1"/>
  <c r="K19" i="1"/>
  <c r="L19" i="1" s="1"/>
  <c r="B20" i="1"/>
  <c r="D20" i="1" s="1"/>
  <c r="B22" i="1"/>
  <c r="D22" i="1" s="1"/>
  <c r="B10" i="1"/>
  <c r="D10" i="1" s="1"/>
  <c r="B8" i="1"/>
  <c r="D8" i="1" s="1"/>
  <c r="D7" i="10"/>
  <c r="A1" i="9"/>
  <c r="A1" i="10"/>
  <c r="K7" i="9"/>
  <c r="B11" i="9"/>
  <c r="D11" i="9" s="1"/>
  <c r="B9" i="9"/>
  <c r="D9" i="9" s="1"/>
  <c r="B10" i="10"/>
  <c r="D10" i="10" s="1"/>
  <c r="B8" i="10"/>
  <c r="D8" i="10" s="1"/>
  <c r="B19" i="9"/>
  <c r="A1" i="1"/>
  <c r="B32" i="10" l="1"/>
  <c r="D32" i="10" s="1"/>
  <c r="K30" i="10"/>
  <c r="L30" i="10" s="1"/>
  <c r="D19" i="11"/>
  <c r="B31" i="11"/>
  <c r="D31" i="11" s="1"/>
  <c r="D30" i="11"/>
  <c r="K30" i="11"/>
  <c r="L30" i="11" s="1"/>
  <c r="A13" i="10"/>
  <c r="D19" i="10"/>
  <c r="L7" i="9"/>
  <c r="L7" i="10"/>
  <c r="L7" i="1"/>
  <c r="B32" i="1"/>
  <c r="D32" i="1" s="1"/>
  <c r="D30" i="9"/>
  <c r="B31" i="9"/>
  <c r="D31" i="9" s="1"/>
  <c r="K30" i="9"/>
  <c r="L30" i="9" s="1"/>
  <c r="B31" i="10"/>
  <c r="D31" i="10" s="1"/>
  <c r="D12" i="11"/>
  <c r="P6" i="11" s="1"/>
  <c r="E2" i="12" s="1"/>
  <c r="B20" i="11"/>
  <c r="D20" i="11" s="1"/>
  <c r="B22" i="11"/>
  <c r="D22" i="11" s="1"/>
  <c r="K19" i="11"/>
  <c r="L19" i="11" s="1"/>
  <c r="D30" i="1"/>
  <c r="B21" i="11"/>
  <c r="D21" i="11" s="1"/>
  <c r="F9" i="12"/>
  <c r="F10" i="12"/>
  <c r="K30" i="1"/>
  <c r="L30" i="1" s="1"/>
  <c r="D23" i="1"/>
  <c r="P18" i="1" s="1"/>
  <c r="E3" i="12" s="1"/>
  <c r="D12" i="9"/>
  <c r="D12" i="10"/>
  <c r="D12" i="1"/>
  <c r="K19" i="9"/>
  <c r="L19" i="9" s="1"/>
  <c r="B22" i="9"/>
  <c r="D22" i="9" s="1"/>
  <c r="B21" i="9"/>
  <c r="D21" i="9" s="1"/>
  <c r="B20" i="9"/>
  <c r="D20" i="9" s="1"/>
  <c r="D19" i="9"/>
  <c r="K19" i="10"/>
  <c r="L19" i="10" s="1"/>
  <c r="B21" i="10"/>
  <c r="D21" i="10" s="1"/>
  <c r="B20" i="10"/>
  <c r="D20" i="10" s="1"/>
  <c r="B22" i="10"/>
  <c r="D22" i="10" s="1"/>
  <c r="D33" i="1" l="1"/>
  <c r="P6" i="10"/>
  <c r="D33" i="11"/>
  <c r="P29" i="11" s="1"/>
  <c r="E6" i="12" s="1"/>
  <c r="G6" i="12" s="1"/>
  <c r="P6" i="9"/>
  <c r="P6" i="1"/>
  <c r="P19" i="1" s="1"/>
  <c r="D33" i="9"/>
  <c r="P29" i="9" s="1"/>
  <c r="E8" i="12" s="1"/>
  <c r="G8" i="12" s="1"/>
  <c r="D23" i="11"/>
  <c r="P18" i="11" s="1"/>
  <c r="D33" i="10"/>
  <c r="P29" i="10" s="1"/>
  <c r="E10" i="12" s="1"/>
  <c r="G10" i="12" s="1"/>
  <c r="G3" i="12"/>
  <c r="P29" i="1"/>
  <c r="E4" i="12" s="1"/>
  <c r="G4" i="12" s="1"/>
  <c r="D23" i="9"/>
  <c r="P18" i="9" s="1"/>
  <c r="D23" i="10"/>
  <c r="P18" i="10" s="1"/>
  <c r="P30" i="11" l="1"/>
  <c r="P30" i="9"/>
  <c r="P30" i="10"/>
  <c r="P30" i="1"/>
  <c r="E5" i="12"/>
  <c r="G5" i="12" s="1"/>
  <c r="P19" i="11"/>
  <c r="E9" i="12"/>
  <c r="G9" i="12" s="1"/>
  <c r="P19" i="10"/>
  <c r="E7" i="12"/>
  <c r="G7" i="12" s="1"/>
  <c r="P19" i="9"/>
</calcChain>
</file>

<file path=xl/comments1.xml><?xml version="1.0" encoding="utf-8"?>
<comments xmlns="http://schemas.openxmlformats.org/spreadsheetml/2006/main">
  <authors>
    <author>Tim Welch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Choose from drop down menu a trapeze length for 1-5/8" Strut Assembly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Enter Quantity of Trapeze Assemblies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Cost/Foot 1-5/8" Strut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 xml:space="preserve">Enter Hex Nut Cost/EA 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Enter Square Washer Cost/EA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Enter Lock Washer Cost/EA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Enter Threaded Rod Cost per Length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4D21 Cost/Foot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Enter 4D22 Cost/Foot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Enter 4D500 3/8, Flip Clip Cost/EA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Enter 4D5001 3/8, Turn Lock Cost/EA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Enter Labor Cost: Hourly Rate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Enter Assembly Time in Minutes for Traditional 1-5/8" Trapeze Assembly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Enter Assembly Time in Minutes of 4D Strut with Flip Clip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Enter Assembly Time in Minutes of 4D Strut with Turn Lock</t>
        </r>
      </text>
    </comment>
  </commentList>
</comments>
</file>

<file path=xl/sharedStrings.xml><?xml version="1.0" encoding="utf-8"?>
<sst xmlns="http://schemas.openxmlformats.org/spreadsheetml/2006/main" count="347" uniqueCount="74">
  <si>
    <t>Standard Trapeze</t>
  </si>
  <si>
    <t>QTY</t>
  </si>
  <si>
    <t>Unit</t>
  </si>
  <si>
    <t>Ext</t>
  </si>
  <si>
    <t>Hex Nut</t>
  </si>
  <si>
    <t>Lock Washer</t>
  </si>
  <si>
    <t>Flip Clip</t>
  </si>
  <si>
    <t>4D500 3/8</t>
  </si>
  <si>
    <t>Rod 3'</t>
  </si>
  <si>
    <t>Turn Lock</t>
  </si>
  <si>
    <t>4D5001 3/8</t>
  </si>
  <si>
    <t>Total</t>
  </si>
  <si>
    <t>Square Washer</t>
  </si>
  <si>
    <t>Labor</t>
  </si>
  <si>
    <t>Material Cost</t>
  </si>
  <si>
    <t>Labor Rate</t>
  </si>
  <si>
    <t>Per Hour</t>
  </si>
  <si>
    <t>Per minute</t>
  </si>
  <si>
    <t>Total Labor for Install</t>
  </si>
  <si>
    <t># Minutes to Install</t>
  </si>
  <si>
    <t>Total Installed Cost</t>
  </si>
  <si>
    <t>% Savings</t>
  </si>
  <si>
    <t>Base For Comparison</t>
  </si>
  <si>
    <t>Trapeze Length (in)</t>
  </si>
  <si>
    <t>4D21</t>
  </si>
  <si>
    <t>weight</t>
  </si>
  <si>
    <t>Uniform Load</t>
  </si>
  <si>
    <t>IF</t>
  </si>
  <si>
    <t>if</t>
  </si>
  <si>
    <t>min</t>
  </si>
  <si>
    <t>4D21A</t>
  </si>
  <si>
    <t>4D22</t>
  </si>
  <si>
    <t>Strut Trapeze Piece</t>
  </si>
  <si>
    <t>Trapeze Strength (Uniform Load (lbs))</t>
  </si>
  <si>
    <t>Total Minutes to Install</t>
  </si>
  <si>
    <t>Minutes to Install One Trapeze</t>
  </si>
  <si>
    <t>B22</t>
  </si>
  <si>
    <t>B22 Standard Trapeze</t>
  </si>
  <si>
    <t>Fill in the information below to populate the other worksheets in this Spreadsheet.</t>
  </si>
  <si>
    <t>1-5/8" Strut Material Cost/Foot</t>
  </si>
  <si>
    <t>4D21 Strut Material Cost /Foot</t>
  </si>
  <si>
    <t>4D22 Strut Material Cost/Foot</t>
  </si>
  <si>
    <t>Labor Cost: Hourly Rate</t>
  </si>
  <si>
    <t>Hex Nut Cost/EA</t>
  </si>
  <si>
    <t>Square Washer Cost/EA</t>
  </si>
  <si>
    <t>Lock Washer Cost/EA</t>
  </si>
  <si>
    <t>Threaded Rod 3' Cost/EA</t>
  </si>
  <si>
    <t>Installed Cost</t>
  </si>
  <si>
    <t>Installed Method Type</t>
  </si>
  <si>
    <t>Installed Cost % Savings</t>
  </si>
  <si>
    <t>Assembled Trapeze - Quantity</t>
  </si>
  <si>
    <t>Trapeze length (in.) *</t>
  </si>
  <si>
    <t>Turn and Lock 4D5001 3/8 Cost/EA</t>
  </si>
  <si>
    <t>Installation Time in minutes for 1-5/8" Strut (min.)</t>
  </si>
  <si>
    <t>Installation Time in minutes for 4D Strut w/Flip Clip (min.)</t>
  </si>
  <si>
    <t>Installation Time in minutes for 4D Strut w/Turn Lock (min.)</t>
  </si>
  <si>
    <t>Load Rating of Flip Clip Pair (lbs)</t>
  </si>
  <si>
    <t>Load Rating of Turn and Lock Pair (lbs)</t>
  </si>
  <si>
    <t>*6" Increments Starting at 24" Length</t>
  </si>
  <si>
    <t>** For Slotted Hole (SH) Use 90% of Strut Strength</t>
  </si>
  <si>
    <t xml:space="preserve"> Strut Strength: Uniform Load (lbs.)**</t>
  </si>
  <si>
    <t>Input Data</t>
  </si>
  <si>
    <t>Contractor Name</t>
  </si>
  <si>
    <t>Contact Name</t>
  </si>
  <si>
    <t>Phone #</t>
  </si>
  <si>
    <t>E-Mail</t>
  </si>
  <si>
    <t>Project Name</t>
  </si>
  <si>
    <t>Project Location</t>
  </si>
  <si>
    <t>Strut Used</t>
  </si>
  <si>
    <t xml:space="preserve">Distributor </t>
  </si>
  <si>
    <t>Distributor Location</t>
  </si>
  <si>
    <t>PLEASE ATTACH INVOICE</t>
  </si>
  <si>
    <t>Flip Clip 4D5001 3/8 Cost/EA</t>
  </si>
  <si>
    <t>Reference Data from B-Line Strut System Catalog (SS-15)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</si>
</sst>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3" xfId="0" applyBorder="1"/>
    <xf numFmtId="37" fontId="0" fillId="0" borderId="1" xfId="1" applyNumberFormat="1" applyFont="1" applyBorder="1" applyAlignment="1">
      <alignment horizontal="center"/>
    </xf>
    <xf numFmtId="0" fontId="0" fillId="2" borderId="1" xfId="0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37" fontId="0" fillId="0" borderId="1" xfId="1" applyNumberFormat="1" applyFont="1" applyBorder="1" applyAlignment="1" applyProtection="1">
      <alignment horizontal="center"/>
    </xf>
    <xf numFmtId="0" fontId="0" fillId="0" borderId="9" xfId="0" applyBorder="1" applyProtection="1"/>
    <xf numFmtId="0" fontId="0" fillId="4" borderId="1" xfId="0" applyFill="1" applyBorder="1" applyProtection="1"/>
    <xf numFmtId="0" fontId="0" fillId="3" borderId="1" xfId="0" applyFill="1" applyBorder="1" applyProtection="1"/>
    <xf numFmtId="0" fontId="0" fillId="0" borderId="10" xfId="0" applyBorder="1" applyProtection="1"/>
    <xf numFmtId="0" fontId="0" fillId="0" borderId="1" xfId="0" applyBorder="1" applyAlignment="1" applyProtection="1">
      <alignment horizontal="center"/>
    </xf>
    <xf numFmtId="0" fontId="0" fillId="0" borderId="11" xfId="0" applyBorder="1" applyProtection="1"/>
    <xf numFmtId="0" fontId="3" fillId="3" borderId="10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37" fontId="0" fillId="0" borderId="1" xfId="1" applyNumberFormat="1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44" fontId="0" fillId="3" borderId="11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Protection="1"/>
    <xf numFmtId="44" fontId="0" fillId="0" borderId="1" xfId="1" applyFont="1" applyBorder="1" applyProtection="1"/>
    <xf numFmtId="0" fontId="2" fillId="0" borderId="1" xfId="0" applyFont="1" applyBorder="1" applyAlignment="1" applyProtection="1">
      <alignment horizontal="left" vertical="center" indent="5"/>
    </xf>
    <xf numFmtId="44" fontId="0" fillId="0" borderId="1" xfId="0" applyNumberFormat="1" applyBorder="1" applyProtection="1"/>
    <xf numFmtId="37" fontId="0" fillId="2" borderId="1" xfId="1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9" fontId="0" fillId="0" borderId="1" xfId="2" applyFont="1" applyBorder="1" applyProtection="1"/>
    <xf numFmtId="0" fontId="0" fillId="0" borderId="1" xfId="0" applyFill="1" applyBorder="1" applyProtection="1"/>
    <xf numFmtId="0" fontId="0" fillId="0" borderId="12" xfId="0" applyBorder="1" applyProtection="1"/>
    <xf numFmtId="0" fontId="0" fillId="0" borderId="13" xfId="0" applyBorder="1" applyAlignment="1" applyProtection="1">
      <alignment horizontal="center"/>
    </xf>
    <xf numFmtId="44" fontId="0" fillId="0" borderId="13" xfId="1" applyFont="1" applyBorder="1" applyProtection="1"/>
    <xf numFmtId="0" fontId="0" fillId="0" borderId="13" xfId="0" applyBorder="1" applyProtection="1"/>
    <xf numFmtId="37" fontId="0" fillId="0" borderId="13" xfId="1" applyNumberFormat="1" applyFont="1" applyBorder="1" applyAlignment="1" applyProtection="1">
      <alignment horizontal="center"/>
    </xf>
    <xf numFmtId="0" fontId="0" fillId="0" borderId="13" xfId="0" applyFill="1" applyBorder="1" applyProtection="1"/>
    <xf numFmtId="0" fontId="0" fillId="0" borderId="14" xfId="0" applyBorder="1" applyProtection="1"/>
    <xf numFmtId="0" fontId="3" fillId="3" borderId="10" xfId="0" applyFont="1" applyFill="1" applyBorder="1" applyProtection="1"/>
    <xf numFmtId="0" fontId="3" fillId="3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44" fontId="0" fillId="0" borderId="1" xfId="1" applyFont="1" applyFill="1" applyBorder="1" applyProtection="1"/>
    <xf numFmtId="9" fontId="0" fillId="4" borderId="11" xfId="0" applyNumberFormat="1" applyFill="1" applyBorder="1" applyProtection="1"/>
    <xf numFmtId="0" fontId="0" fillId="0" borderId="13" xfId="0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0" fontId="6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2" borderId="1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1" xfId="0" applyFont="1" applyFill="1" applyBorder="1"/>
    <xf numFmtId="0" fontId="10" fillId="0" borderId="0" xfId="0" applyFont="1"/>
    <xf numFmtId="0" fontId="3" fillId="3" borderId="2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3" xfId="0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293867</xdr:colOff>
      <xdr:row>34</xdr:row>
      <xdr:rowOff>75429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1266667" cy="617142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19</xdr:col>
      <xdr:colOff>65296</xdr:colOff>
      <xdr:row>65</xdr:row>
      <xdr:rowOff>132643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667500"/>
          <a:ext cx="11038096" cy="565714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10</xdr:col>
      <xdr:colOff>189791</xdr:colOff>
      <xdr:row>81</xdr:row>
      <xdr:rowOff>9191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2573000"/>
          <a:ext cx="5676191" cy="2676191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18</xdr:col>
      <xdr:colOff>532039</xdr:colOff>
      <xdr:row>111</xdr:row>
      <xdr:rowOff>104072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5430500"/>
          <a:ext cx="10895239" cy="562857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18</xdr:col>
      <xdr:colOff>379658</xdr:colOff>
      <xdr:row>146</xdr:row>
      <xdr:rowOff>65881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21336000"/>
          <a:ext cx="10742858" cy="6352381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10</xdr:col>
      <xdr:colOff>199315</xdr:colOff>
      <xdr:row>162</xdr:row>
      <xdr:rowOff>28238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28003500"/>
          <a:ext cx="5685715" cy="269523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18</xdr:col>
      <xdr:colOff>198705</xdr:colOff>
      <xdr:row>197</xdr:row>
      <xdr:rowOff>8715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30861000"/>
          <a:ext cx="10561905" cy="64857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15</xdr:col>
      <xdr:colOff>113220</xdr:colOff>
      <xdr:row>233</xdr:row>
      <xdr:rowOff>56310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37528500"/>
          <a:ext cx="8647620" cy="672381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17</xdr:col>
      <xdr:colOff>389258</xdr:colOff>
      <xdr:row>267</xdr:row>
      <xdr:rowOff>8739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44386500"/>
          <a:ext cx="10142858" cy="629523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16</xdr:col>
      <xdr:colOff>208382</xdr:colOff>
      <xdr:row>302</xdr:row>
      <xdr:rowOff>142048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50863500"/>
          <a:ext cx="9352382" cy="661904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16</xdr:col>
      <xdr:colOff>8382</xdr:colOff>
      <xdr:row>338</xdr:row>
      <xdr:rowOff>18239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57721500"/>
          <a:ext cx="9152382" cy="649523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0" zoomScaleNormal="80" workbookViewId="0">
      <selection activeCell="B15" sqref="B15"/>
    </sheetView>
  </sheetViews>
  <sheetFormatPr defaultColWidth="8.85546875" defaultRowHeight="15" x14ac:dyDescent="0.25"/>
  <cols>
    <col min="1" max="1" width="76.7109375" style="43" bestFit="1" customWidth="1"/>
    <col min="2" max="2" width="12" style="44" bestFit="1" customWidth="1"/>
    <col min="3" max="3" width="4.5703125" style="44" customWidth="1"/>
    <col min="4" max="4" width="45.85546875" style="43" bestFit="1" customWidth="1"/>
    <col min="5" max="5" width="15.5703125" style="43" customWidth="1"/>
    <col min="6" max="6" width="19.85546875" style="43" customWidth="1"/>
    <col min="7" max="7" width="16.5703125" style="43" customWidth="1"/>
    <col min="8" max="16384" width="8.85546875" style="43"/>
  </cols>
  <sheetData>
    <row r="1" spans="1:7" s="77" customFormat="1" ht="45" x14ac:dyDescent="0.25">
      <c r="A1" s="47" t="s">
        <v>38</v>
      </c>
      <c r="B1" s="54" t="s">
        <v>61</v>
      </c>
      <c r="C1" s="76"/>
      <c r="D1" s="51" t="s">
        <v>48</v>
      </c>
      <c r="E1" s="52" t="s">
        <v>47</v>
      </c>
      <c r="F1" s="53" t="s">
        <v>60</v>
      </c>
      <c r="G1" s="54" t="s">
        <v>49</v>
      </c>
    </row>
    <row r="2" spans="1:7" ht="23.25" x14ac:dyDescent="0.25">
      <c r="A2" s="48" t="s">
        <v>51</v>
      </c>
      <c r="B2" s="67">
        <v>36</v>
      </c>
      <c r="C2" s="62"/>
      <c r="D2" s="55" t="str">
        <f>B2&amp;" inch - 1-5/8 Strut"</f>
        <v>36 inch - 1-5/8 Strut</v>
      </c>
      <c r="E2" s="45">
        <f>'4D21 One Half Length'!P6</f>
        <v>1939</v>
      </c>
      <c r="F2" s="46">
        <f>'4D21 One Half Length'!C3</f>
        <v>1135</v>
      </c>
      <c r="G2" s="56"/>
    </row>
    <row r="3" spans="1:7" ht="23.25" x14ac:dyDescent="0.25">
      <c r="A3" s="48" t="s">
        <v>50</v>
      </c>
      <c r="B3" s="67">
        <v>100</v>
      </c>
      <c r="C3" s="63"/>
      <c r="D3" s="55" t="str">
        <f>B2&amp;" inch - 4D21 Strut w/Flip Clip"</f>
        <v>36 inch - 4D21 Strut w/Flip Clip</v>
      </c>
      <c r="E3" s="45">
        <f>'4D21 Same Length'!P18</f>
        <v>1398.5</v>
      </c>
      <c r="F3" s="46">
        <f>'4D21 Same Length'!C15</f>
        <v>468</v>
      </c>
      <c r="G3" s="57">
        <f>(($E$2-E3)/$E$2)</f>
        <v>0.27875193398659104</v>
      </c>
    </row>
    <row r="4" spans="1:7" ht="23.25" x14ac:dyDescent="0.25">
      <c r="A4" s="48" t="s">
        <v>39</v>
      </c>
      <c r="B4" s="68">
        <v>1.1499999999999999</v>
      </c>
      <c r="C4" s="63"/>
      <c r="D4" s="55" t="str">
        <f>B2&amp;" inch - 4D21 Strut w/Turn Lock"</f>
        <v>36 inch - 4D21 Strut w/Turn Lock</v>
      </c>
      <c r="E4" s="45">
        <f>'4D21 Same Length'!P29</f>
        <v>1249</v>
      </c>
      <c r="F4" s="46">
        <f>'4D21 Same Length'!C26</f>
        <v>468</v>
      </c>
      <c r="G4" s="57">
        <f t="shared" ref="G4:G10" si="0">(($E$2-E4)/$E$2)</f>
        <v>0.35585353274883963</v>
      </c>
    </row>
    <row r="5" spans="1:7" ht="23.25" x14ac:dyDescent="0.25">
      <c r="A5" s="48" t="s">
        <v>43</v>
      </c>
      <c r="B5" s="68">
        <v>0.06</v>
      </c>
      <c r="C5" s="63"/>
      <c r="D5" s="55" t="str">
        <f>(B2*0.5)&amp;" inch - 4D21 Strut w/Flip Clip"</f>
        <v>18 inch - 4D21 Strut w/Flip Clip</v>
      </c>
      <c r="E5" s="45">
        <f>'4D21 One Half Length'!P18</f>
        <v>1258.5</v>
      </c>
      <c r="F5" s="46">
        <f>'4D21 One Half Length'!C15</f>
        <v>700</v>
      </c>
      <c r="G5" s="57">
        <f t="shared" si="0"/>
        <v>0.35095410005157296</v>
      </c>
    </row>
    <row r="6" spans="1:7" ht="23.25" x14ac:dyDescent="0.25">
      <c r="A6" s="48" t="s">
        <v>44</v>
      </c>
      <c r="B6" s="68">
        <v>0.35</v>
      </c>
      <c r="C6" s="63"/>
      <c r="D6" s="55" t="str">
        <f>(B2*0.5)&amp;" inch - 4D21 Strut w/Turn Lock"</f>
        <v>18 inch - 4D21 Strut w/Turn Lock</v>
      </c>
      <c r="E6" s="45">
        <f>'4D21 One Half Length'!P29</f>
        <v>1251.5</v>
      </c>
      <c r="F6" s="46">
        <f>'4D21 One Half Length'!C26</f>
        <v>700</v>
      </c>
      <c r="G6" s="57">
        <f t="shared" si="0"/>
        <v>0.35456420835482205</v>
      </c>
    </row>
    <row r="7" spans="1:7" ht="23.25" x14ac:dyDescent="0.25">
      <c r="A7" s="48" t="s">
        <v>45</v>
      </c>
      <c r="B7" s="68">
        <v>0.03</v>
      </c>
      <c r="C7" s="63"/>
      <c r="D7" s="55" t="str">
        <f>B2&amp;" inch - 4D22 Strut w/Flip Clip"</f>
        <v>36 inch - 4D22 Strut w/Flip Clip</v>
      </c>
      <c r="E7" s="45">
        <f>'4D22 Same Length'!P18</f>
        <v>1461</v>
      </c>
      <c r="F7" s="46">
        <f>'4D22 Same Length'!C15</f>
        <v>1249</v>
      </c>
      <c r="G7" s="57">
        <f t="shared" si="0"/>
        <v>0.24651882413615264</v>
      </c>
    </row>
    <row r="8" spans="1:7" ht="23.25" x14ac:dyDescent="0.25">
      <c r="A8" s="48" t="s">
        <v>46</v>
      </c>
      <c r="B8" s="68">
        <v>0.87</v>
      </c>
      <c r="C8" s="63"/>
      <c r="D8" s="55" t="str">
        <f>B2&amp;" inch - 4D22 Strut w/Turn Lock"</f>
        <v>36 inch - 4D22 Strut w/Turn Lock</v>
      </c>
      <c r="E8" s="45">
        <f>'4D22 Same Length'!P29</f>
        <v>1484</v>
      </c>
      <c r="F8" s="46">
        <f>'4D22 Same Length'!C26</f>
        <v>1249</v>
      </c>
      <c r="G8" s="57">
        <f t="shared" si="0"/>
        <v>0.23465703971119134</v>
      </c>
    </row>
    <row r="9" spans="1:7" ht="23.25" x14ac:dyDescent="0.25">
      <c r="A9" s="49" t="s">
        <v>40</v>
      </c>
      <c r="B9" s="68">
        <v>1.05</v>
      </c>
      <c r="C9" s="63"/>
      <c r="D9" s="55" t="str">
        <f>(B2*0.5)&amp;" inch - 4D22 Strut w/Flip Clip"</f>
        <v>18 inch - 4D22 Strut w/Flip Clip</v>
      </c>
      <c r="E9" s="45">
        <f>'4D22 One Half Length'!P18</f>
        <v>1287.6666666666665</v>
      </c>
      <c r="F9" s="46">
        <f>'4D22 One Half Length'!C26</f>
        <v>1872</v>
      </c>
      <c r="G9" s="57">
        <f t="shared" si="0"/>
        <v>0.33591198212136847</v>
      </c>
    </row>
    <row r="10" spans="1:7" ht="24" thickBot="1" x14ac:dyDescent="0.3">
      <c r="A10" s="49" t="s">
        <v>41</v>
      </c>
      <c r="B10" s="68">
        <v>1.3</v>
      </c>
      <c r="C10" s="63"/>
      <c r="D10" s="58" t="str">
        <f>(B2*0.5)&amp;" inch - 4D22 Strut w/Turn Lock"</f>
        <v>18 inch - 4D22 Strut w/Turn Lock</v>
      </c>
      <c r="E10" s="59">
        <f>'4D22 One Half Length'!P29</f>
        <v>1289</v>
      </c>
      <c r="F10" s="60">
        <f>'4D22 One Half Length'!C26</f>
        <v>1872</v>
      </c>
      <c r="G10" s="61">
        <f t="shared" si="0"/>
        <v>0.33522434244455906</v>
      </c>
    </row>
    <row r="11" spans="1:7" ht="23.45" customHeight="1" thickBot="1" x14ac:dyDescent="0.3">
      <c r="A11" s="48" t="s">
        <v>72</v>
      </c>
      <c r="B11" s="68">
        <v>1</v>
      </c>
      <c r="C11" s="63"/>
      <c r="D11" s="65"/>
      <c r="E11" s="65"/>
      <c r="F11" s="65"/>
      <c r="G11" s="65"/>
    </row>
    <row r="12" spans="1:7" ht="23.45" customHeight="1" x14ac:dyDescent="0.25">
      <c r="A12" s="48" t="s">
        <v>52</v>
      </c>
      <c r="B12" s="68">
        <v>2.1</v>
      </c>
      <c r="C12" s="63"/>
      <c r="D12" s="71" t="s">
        <v>56</v>
      </c>
      <c r="E12" s="74">
        <v>770</v>
      </c>
      <c r="F12" s="65"/>
      <c r="G12" s="65"/>
    </row>
    <row r="13" spans="1:7" ht="23.45" customHeight="1" thickBot="1" x14ac:dyDescent="0.3">
      <c r="A13" s="49" t="s">
        <v>42</v>
      </c>
      <c r="B13" s="68">
        <v>75</v>
      </c>
      <c r="C13" s="64"/>
      <c r="D13" s="72" t="s">
        <v>57</v>
      </c>
      <c r="E13" s="75">
        <v>1155</v>
      </c>
      <c r="F13" s="65"/>
      <c r="G13" s="65"/>
    </row>
    <row r="14" spans="1:7" ht="23.45" customHeight="1" x14ac:dyDescent="0.25">
      <c r="A14" s="49" t="s">
        <v>53</v>
      </c>
      <c r="B14" s="69">
        <v>10</v>
      </c>
      <c r="C14" s="64"/>
      <c r="D14" s="65"/>
      <c r="E14" s="65"/>
      <c r="F14" s="65"/>
      <c r="G14" s="65"/>
    </row>
    <row r="15" spans="1:7" ht="23.45" customHeight="1" x14ac:dyDescent="0.25">
      <c r="A15" s="49" t="s">
        <v>54</v>
      </c>
      <c r="B15" s="69">
        <v>6</v>
      </c>
      <c r="C15" s="64"/>
      <c r="D15" s="73" t="s">
        <v>58</v>
      </c>
      <c r="E15" s="65"/>
      <c r="F15" s="65"/>
      <c r="G15" s="65"/>
    </row>
    <row r="16" spans="1:7" ht="23.45" customHeight="1" thickBot="1" x14ac:dyDescent="0.3">
      <c r="A16" s="50" t="s">
        <v>55</v>
      </c>
      <c r="B16" s="70">
        <v>4</v>
      </c>
      <c r="C16" s="43"/>
      <c r="D16" s="73" t="s">
        <v>59</v>
      </c>
    </row>
    <row r="17" spans="2:3" ht="28.9" customHeight="1" x14ac:dyDescent="0.25">
      <c r="B17" s="43"/>
      <c r="C17" s="43"/>
    </row>
    <row r="18" spans="2:3" x14ac:dyDescent="0.25">
      <c r="B18" s="43"/>
      <c r="C18" s="43"/>
    </row>
    <row r="19" spans="2:3" x14ac:dyDescent="0.25">
      <c r="B19" s="43"/>
      <c r="C19" s="43"/>
    </row>
    <row r="20" spans="2:3" x14ac:dyDescent="0.25">
      <c r="B20" s="43"/>
      <c r="C20" s="43"/>
    </row>
    <row r="21" spans="2:3" x14ac:dyDescent="0.25">
      <c r="B21" s="43"/>
      <c r="C21" s="43"/>
    </row>
    <row r="22" spans="2:3" x14ac:dyDescent="0.25">
      <c r="B22" s="43"/>
      <c r="C22" s="43"/>
    </row>
    <row r="23" spans="2:3" ht="14.45" x14ac:dyDescent="0.35">
      <c r="B23" s="43"/>
      <c r="C23" s="43"/>
    </row>
    <row r="24" spans="2:3" ht="14.45" x14ac:dyDescent="0.35">
      <c r="B24" s="43"/>
      <c r="C24" s="43"/>
    </row>
    <row r="25" spans="2:3" ht="14.45" x14ac:dyDescent="0.35">
      <c r="B25" s="43"/>
      <c r="C25" s="43"/>
    </row>
    <row r="26" spans="2:3" ht="14.45" x14ac:dyDescent="0.35">
      <c r="B26" s="43"/>
    </row>
  </sheetData>
  <sheetProtection sheet="1" objects="1" scenarios="1"/>
  <pageMargins left="0.7" right="0.7" top="0.75" bottom="0.75" header="0.3" footer="0.3"/>
  <pageSetup scale="90" orientation="landscape" horizontalDpi="4294967293" verticalDpi="4294967293" r:id="rId1"/>
  <headerFooter>
    <oddHeader>&amp;C&amp;"-,Bold Italic"&amp;18B-Line Trapeze Cost Savings Summation: 4 D Strut vs. 1-5/8" X 1-5/8" Strut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Sheet2!$B$4:$B$22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34"/>
  <sheetViews>
    <sheetView topLeftCell="A14" workbookViewId="0">
      <selection activeCell="A39" sqref="A39"/>
    </sheetView>
  </sheetViews>
  <sheetFormatPr defaultColWidth="8.7109375" defaultRowHeight="15" x14ac:dyDescent="0.25"/>
  <cols>
    <col min="1" max="1" width="18.28515625" style="5" bestFit="1" customWidth="1"/>
    <col min="2" max="2" width="5" style="5" bestFit="1" customWidth="1"/>
    <col min="3" max="3" width="8.7109375" style="5"/>
    <col min="4" max="4" width="10.42578125" style="5" bestFit="1" customWidth="1"/>
    <col min="5" max="5" width="2" style="5" customWidth="1"/>
    <col min="6" max="6" width="9.28515625" style="5" bestFit="1" customWidth="1"/>
    <col min="7" max="7" width="16.42578125" style="5" customWidth="1"/>
    <col min="8" max="8" width="8.7109375" style="5"/>
    <col min="9" max="9" width="10.7109375" style="5" bestFit="1" customWidth="1"/>
    <col min="10" max="10" width="10.7109375" style="8" customWidth="1"/>
    <col min="11" max="11" width="9.7109375" style="5" bestFit="1" customWidth="1"/>
    <col min="12" max="12" width="10.7109375" style="5" bestFit="1" customWidth="1"/>
    <col min="13" max="13" width="2.42578125" style="5" customWidth="1"/>
    <col min="14" max="14" width="9.28515625" style="5" bestFit="1" customWidth="1"/>
    <col min="15" max="15" width="18.42578125" style="5" bestFit="1" customWidth="1"/>
    <col min="16" max="16" width="12.7109375" style="5" customWidth="1"/>
    <col min="17" max="16384" width="8.7109375" style="5"/>
  </cols>
  <sheetData>
    <row r="1" spans="1:17" ht="21" x14ac:dyDescent="0.35">
      <c r="A1" s="90" t="str">
        <f>B7&amp;" pieces of "&amp;C2&amp;" Inch, 1-5/8 X 1-5/8 Strut Trapeze Assembly"</f>
        <v>100 pieces of 36 Inch, 1-5/8 X 1-5/8 Strut Trapeze Assembly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7"/>
    </row>
    <row r="2" spans="1:17" x14ac:dyDescent="0.25">
      <c r="A2" s="83" t="s">
        <v>23</v>
      </c>
      <c r="B2" s="84"/>
      <c r="C2" s="4">
        <f>'Basic Cost Length Information'!B2</f>
        <v>36</v>
      </c>
      <c r="F2" s="6"/>
      <c r="G2" s="7"/>
      <c r="O2" s="6"/>
      <c r="P2" s="9"/>
      <c r="Q2" s="7"/>
    </row>
    <row r="3" spans="1:17" ht="30" customHeight="1" x14ac:dyDescent="0.25">
      <c r="A3" s="85" t="s">
        <v>33</v>
      </c>
      <c r="B3" s="86"/>
      <c r="C3" s="11">
        <f>LOOKUP(C2,Sheet2!B65:B83,Sheet2!D65:D83)</f>
        <v>1135</v>
      </c>
      <c r="F3" s="6"/>
      <c r="G3" s="7"/>
      <c r="O3" s="6"/>
      <c r="P3" s="9"/>
      <c r="Q3" s="7"/>
    </row>
    <row r="4" spans="1:17" x14ac:dyDescent="0.25">
      <c r="A4" s="83" t="s">
        <v>14</v>
      </c>
      <c r="B4" s="87"/>
      <c r="C4" s="88"/>
      <c r="D4" s="89"/>
      <c r="E4" s="11"/>
      <c r="F4" s="80" t="s">
        <v>13</v>
      </c>
      <c r="G4" s="87"/>
      <c r="H4" s="88"/>
      <c r="I4" s="88"/>
      <c r="J4" s="88"/>
      <c r="K4" s="88"/>
      <c r="L4" s="89"/>
      <c r="M4" s="11"/>
      <c r="N4" s="80" t="s">
        <v>20</v>
      </c>
      <c r="O4" s="81"/>
      <c r="P4" s="82"/>
      <c r="Q4" s="7"/>
    </row>
    <row r="5" spans="1:17" x14ac:dyDescent="0.25">
      <c r="A5" s="12"/>
      <c r="B5" s="13" t="s">
        <v>1</v>
      </c>
      <c r="C5" s="13" t="s">
        <v>2</v>
      </c>
      <c r="D5" s="13" t="s">
        <v>3</v>
      </c>
      <c r="P5" s="14"/>
      <c r="Q5" s="7"/>
    </row>
    <row r="6" spans="1:17" ht="45" x14ac:dyDescent="0.25">
      <c r="A6" s="15" t="s">
        <v>37</v>
      </c>
      <c r="F6" s="16" t="s">
        <v>0</v>
      </c>
      <c r="H6" s="5" t="s">
        <v>16</v>
      </c>
      <c r="I6" s="5" t="s">
        <v>17</v>
      </c>
      <c r="J6" s="17" t="s">
        <v>35</v>
      </c>
      <c r="K6" s="18" t="s">
        <v>34</v>
      </c>
      <c r="L6" s="19" t="s">
        <v>18</v>
      </c>
      <c r="N6" s="16" t="s">
        <v>0</v>
      </c>
      <c r="O6" s="11" t="s">
        <v>20</v>
      </c>
      <c r="P6" s="20">
        <f>SUM(D12+L7)</f>
        <v>1939</v>
      </c>
      <c r="Q6" s="7"/>
    </row>
    <row r="7" spans="1:17" x14ac:dyDescent="0.25">
      <c r="A7" s="12" t="s">
        <v>32</v>
      </c>
      <c r="B7" s="21">
        <f>'Basic Cost Length Information'!B3</f>
        <v>100</v>
      </c>
      <c r="C7" s="22">
        <f>'Basic Cost Length Information'!B4</f>
        <v>1.1499999999999999</v>
      </c>
      <c r="D7" s="23">
        <f>C7*B7*$C$2/12</f>
        <v>344.99999999999994</v>
      </c>
      <c r="E7" s="24"/>
      <c r="G7" s="5" t="s">
        <v>15</v>
      </c>
      <c r="H7" s="22">
        <f>'Basic Cost Length Information'!B13</f>
        <v>75</v>
      </c>
      <c r="I7" s="25">
        <f>SUM(H7/60)</f>
        <v>1.25</v>
      </c>
      <c r="J7" s="26">
        <f>'Basic Cost Length Information'!B14</f>
        <v>10</v>
      </c>
      <c r="K7" s="27">
        <f>B7*J7</f>
        <v>1000</v>
      </c>
      <c r="L7" s="25">
        <f>SUM(I7*K7)</f>
        <v>1250</v>
      </c>
      <c r="O7" s="5" t="s">
        <v>22</v>
      </c>
      <c r="P7" s="14"/>
      <c r="Q7" s="7"/>
    </row>
    <row r="8" spans="1:17" x14ac:dyDescent="0.25">
      <c r="A8" s="12" t="s">
        <v>4</v>
      </c>
      <c r="B8" s="13">
        <f>4*B7</f>
        <v>400</v>
      </c>
      <c r="C8" s="22">
        <f>'Basic Cost Length Information'!B5</f>
        <v>0.06</v>
      </c>
      <c r="D8" s="23">
        <f t="shared" ref="D8:D32" si="0">SUM(C8*B8)</f>
        <v>24</v>
      </c>
      <c r="E8" s="24"/>
      <c r="H8" s="28"/>
      <c r="K8" s="29"/>
      <c r="P8" s="14"/>
      <c r="Q8" s="7"/>
    </row>
    <row r="9" spans="1:17" x14ac:dyDescent="0.25">
      <c r="A9" s="12" t="s">
        <v>12</v>
      </c>
      <c r="B9" s="13">
        <f>4*B7</f>
        <v>400</v>
      </c>
      <c r="C9" s="22">
        <f>'Basic Cost Length Information'!B6</f>
        <v>0.35</v>
      </c>
      <c r="D9" s="23">
        <f t="shared" si="0"/>
        <v>140</v>
      </c>
      <c r="E9" s="24"/>
      <c r="H9" s="28"/>
      <c r="K9" s="29"/>
      <c r="P9" s="14"/>
      <c r="Q9" s="7"/>
    </row>
    <row r="10" spans="1:17" x14ac:dyDescent="0.25">
      <c r="A10" s="12" t="s">
        <v>5</v>
      </c>
      <c r="B10" s="13">
        <f>B7*2</f>
        <v>200</v>
      </c>
      <c r="C10" s="22">
        <f>'Basic Cost Length Information'!B7</f>
        <v>0.03</v>
      </c>
      <c r="D10" s="23">
        <f t="shared" si="0"/>
        <v>6</v>
      </c>
      <c r="K10" s="29"/>
      <c r="P10" s="14"/>
      <c r="Q10" s="7"/>
    </row>
    <row r="11" spans="1:17" x14ac:dyDescent="0.25">
      <c r="A11" s="12" t="s">
        <v>8</v>
      </c>
      <c r="B11" s="13">
        <f>2*B7</f>
        <v>200</v>
      </c>
      <c r="C11" s="22">
        <f>'Basic Cost Length Information'!B8</f>
        <v>0.87</v>
      </c>
      <c r="D11" s="23">
        <f t="shared" si="0"/>
        <v>174</v>
      </c>
      <c r="K11" s="29"/>
      <c r="P11" s="14"/>
      <c r="Q11" s="7"/>
    </row>
    <row r="12" spans="1:17" ht="15.75" thickBot="1" x14ac:dyDescent="0.3">
      <c r="A12" s="30" t="s">
        <v>11</v>
      </c>
      <c r="B12" s="31"/>
      <c r="C12" s="32"/>
      <c r="D12" s="32">
        <f>SUM(D7:D11)</f>
        <v>689</v>
      </c>
      <c r="E12" s="33"/>
      <c r="F12" s="33"/>
      <c r="G12" s="33"/>
      <c r="H12" s="33"/>
      <c r="I12" s="33"/>
      <c r="J12" s="34"/>
      <c r="K12" s="35"/>
      <c r="L12" s="33"/>
      <c r="M12" s="33"/>
      <c r="N12" s="33"/>
      <c r="O12" s="33"/>
      <c r="P12" s="36"/>
      <c r="Q12" s="7"/>
    </row>
    <row r="13" spans="1:17" ht="21" x14ac:dyDescent="0.35">
      <c r="A13" s="90" t="str">
        <f>B7&amp;" pieces of "&amp;C14&amp;" Inch, 4D21 - Flip Clip Trapeze Assembly"</f>
        <v>100 pieces of 36 Inch, 4D21 - Flip Clip Trapeze Assembly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7"/>
    </row>
    <row r="14" spans="1:17" x14ac:dyDescent="0.25">
      <c r="A14" s="83" t="s">
        <v>23</v>
      </c>
      <c r="B14" s="84"/>
      <c r="C14" s="11">
        <f>C2</f>
        <v>36</v>
      </c>
      <c r="F14" s="6"/>
      <c r="G14" s="7"/>
      <c r="O14" s="6"/>
      <c r="P14" s="9"/>
      <c r="Q14" s="7"/>
    </row>
    <row r="15" spans="1:17" ht="30" customHeight="1" x14ac:dyDescent="0.25">
      <c r="A15" s="85" t="s">
        <v>33</v>
      </c>
      <c r="B15" s="86"/>
      <c r="C15" s="11">
        <f>LOOKUP(C2,Sheet2!B4:B22,Sheet2!D4:D22)</f>
        <v>468</v>
      </c>
      <c r="F15" s="6"/>
      <c r="G15" s="7"/>
      <c r="O15" s="6"/>
      <c r="P15" s="9"/>
      <c r="Q15" s="7"/>
    </row>
    <row r="16" spans="1:17" x14ac:dyDescent="0.25">
      <c r="A16" s="83" t="s">
        <v>14</v>
      </c>
      <c r="B16" s="87"/>
      <c r="C16" s="88"/>
      <c r="D16" s="89"/>
      <c r="E16" s="11"/>
      <c r="F16" s="80" t="s">
        <v>13</v>
      </c>
      <c r="G16" s="87"/>
      <c r="H16" s="88"/>
      <c r="I16" s="88"/>
      <c r="J16" s="88"/>
      <c r="K16" s="88"/>
      <c r="L16" s="89"/>
      <c r="M16" s="11"/>
      <c r="N16" s="80" t="s">
        <v>20</v>
      </c>
      <c r="O16" s="81"/>
      <c r="P16" s="82"/>
      <c r="Q16" s="7"/>
    </row>
    <row r="17" spans="1:17" x14ac:dyDescent="0.25">
      <c r="A17" s="12"/>
      <c r="B17" s="13" t="s">
        <v>1</v>
      </c>
      <c r="C17" s="13" t="s">
        <v>2</v>
      </c>
      <c r="D17" s="13" t="s">
        <v>3</v>
      </c>
      <c r="P17" s="14"/>
      <c r="Q17" s="7"/>
    </row>
    <row r="18" spans="1:17" ht="45" x14ac:dyDescent="0.25">
      <c r="A18" s="37" t="s">
        <v>6</v>
      </c>
      <c r="B18" s="13"/>
      <c r="F18" s="38" t="s">
        <v>6</v>
      </c>
      <c r="H18" s="5" t="s">
        <v>16</v>
      </c>
      <c r="I18" s="5" t="s">
        <v>17</v>
      </c>
      <c r="J18" s="17" t="s">
        <v>35</v>
      </c>
      <c r="K18" s="39" t="s">
        <v>19</v>
      </c>
      <c r="L18" s="19" t="s">
        <v>18</v>
      </c>
      <c r="N18" s="38" t="s">
        <v>6</v>
      </c>
      <c r="O18" s="11" t="s">
        <v>20</v>
      </c>
      <c r="P18" s="20">
        <f>SUM(D23+L19)</f>
        <v>1398.5</v>
      </c>
      <c r="Q18" s="7"/>
    </row>
    <row r="19" spans="1:17" x14ac:dyDescent="0.25">
      <c r="A19" s="12" t="s">
        <v>32</v>
      </c>
      <c r="B19" s="21">
        <f>B7</f>
        <v>100</v>
      </c>
      <c r="C19" s="22">
        <f>'Basic Cost Length Information'!B9</f>
        <v>1.05</v>
      </c>
      <c r="D19" s="23">
        <f>C19*B19*($C$2-6)/12</f>
        <v>262.5</v>
      </c>
      <c r="G19" s="5" t="s">
        <v>15</v>
      </c>
      <c r="H19" s="40">
        <f>H7</f>
        <v>75</v>
      </c>
      <c r="I19" s="25">
        <f>SUM(H19/60)</f>
        <v>1.25</v>
      </c>
      <c r="J19" s="26">
        <f>'Basic Cost Length Information'!B15</f>
        <v>6</v>
      </c>
      <c r="K19" s="27">
        <f>B19*J19</f>
        <v>600</v>
      </c>
      <c r="L19" s="25">
        <f>SUM(I19*K19)</f>
        <v>750</v>
      </c>
      <c r="O19" s="10" t="s">
        <v>21</v>
      </c>
      <c r="P19" s="41">
        <f>SUM((P6-P18)/P6)</f>
        <v>0.27875193398659104</v>
      </c>
      <c r="Q19" s="7"/>
    </row>
    <row r="20" spans="1:17" x14ac:dyDescent="0.25">
      <c r="A20" s="12" t="s">
        <v>4</v>
      </c>
      <c r="B20" s="27">
        <f>$B$19*2</f>
        <v>200</v>
      </c>
      <c r="C20" s="22">
        <f>'Basic Cost Length Information'!B5</f>
        <v>0.06</v>
      </c>
      <c r="D20" s="23">
        <f t="shared" si="0"/>
        <v>12</v>
      </c>
      <c r="K20" s="29"/>
      <c r="P20" s="14"/>
      <c r="Q20" s="7"/>
    </row>
    <row r="21" spans="1:17" x14ac:dyDescent="0.25">
      <c r="A21" s="12" t="s">
        <v>7</v>
      </c>
      <c r="B21" s="27">
        <f t="shared" ref="B21:B22" si="1">$B$19*2</f>
        <v>200</v>
      </c>
      <c r="C21" s="22">
        <f>'Basic Cost Length Information'!B11</f>
        <v>1</v>
      </c>
      <c r="D21" s="23">
        <f t="shared" si="0"/>
        <v>200</v>
      </c>
      <c r="K21" s="29"/>
      <c r="P21" s="14"/>
      <c r="Q21" s="7"/>
    </row>
    <row r="22" spans="1:17" x14ac:dyDescent="0.25">
      <c r="A22" s="12" t="s">
        <v>8</v>
      </c>
      <c r="B22" s="27">
        <f t="shared" si="1"/>
        <v>200</v>
      </c>
      <c r="C22" s="22">
        <f>'Basic Cost Length Information'!B8</f>
        <v>0.87</v>
      </c>
      <c r="D22" s="23">
        <f t="shared" si="0"/>
        <v>174</v>
      </c>
      <c r="K22" s="29"/>
      <c r="P22" s="14"/>
      <c r="Q22" s="7"/>
    </row>
    <row r="23" spans="1:17" ht="15.75" thickBot="1" x14ac:dyDescent="0.3">
      <c r="A23" s="30" t="s">
        <v>11</v>
      </c>
      <c r="B23" s="42"/>
      <c r="C23" s="32"/>
      <c r="D23" s="32">
        <f>SUM(D19:D22)</f>
        <v>648.5</v>
      </c>
      <c r="E23" s="33"/>
      <c r="F23" s="33"/>
      <c r="G23" s="33"/>
      <c r="H23" s="33"/>
      <c r="I23" s="33"/>
      <c r="J23" s="34"/>
      <c r="K23" s="35"/>
      <c r="L23" s="33"/>
      <c r="M23" s="33"/>
      <c r="N23" s="33"/>
      <c r="O23" s="33"/>
      <c r="P23" s="36"/>
      <c r="Q23" s="7"/>
    </row>
    <row r="24" spans="1:17" ht="21" x14ac:dyDescent="0.35">
      <c r="A24" s="90" t="str">
        <f>B7&amp;" pieces of "&amp;C25&amp;" Inch, 4D21 - Turn Lock Trapeze Assembly"</f>
        <v>100 pieces of 36 Inch, 4D21 - Turn Lock Trapeze Assembly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7"/>
    </row>
    <row r="25" spans="1:17" x14ac:dyDescent="0.25">
      <c r="A25" s="83" t="s">
        <v>23</v>
      </c>
      <c r="B25" s="84"/>
      <c r="C25" s="11">
        <f>C2</f>
        <v>36</v>
      </c>
      <c r="F25" s="6"/>
      <c r="G25" s="7"/>
      <c r="O25" s="6"/>
      <c r="P25" s="9"/>
      <c r="Q25" s="7"/>
    </row>
    <row r="26" spans="1:17" ht="30" customHeight="1" x14ac:dyDescent="0.25">
      <c r="A26" s="85" t="s">
        <v>33</v>
      </c>
      <c r="B26" s="86"/>
      <c r="C26" s="11">
        <f>LOOKUP(C2,Sheet2!B4:B22,Sheet2!D4:D22)</f>
        <v>468</v>
      </c>
      <c r="F26" s="6"/>
      <c r="G26" s="7"/>
      <c r="O26" s="6"/>
      <c r="P26" s="9"/>
      <c r="Q26" s="7"/>
    </row>
    <row r="27" spans="1:17" x14ac:dyDescent="0.25">
      <c r="A27" s="83" t="s">
        <v>14</v>
      </c>
      <c r="B27" s="87"/>
      <c r="C27" s="88"/>
      <c r="D27" s="89"/>
      <c r="E27" s="11"/>
      <c r="F27" s="80" t="s">
        <v>13</v>
      </c>
      <c r="G27" s="87"/>
      <c r="H27" s="88"/>
      <c r="I27" s="88"/>
      <c r="J27" s="88"/>
      <c r="K27" s="88"/>
      <c r="L27" s="89"/>
      <c r="M27" s="11"/>
      <c r="N27" s="80" t="s">
        <v>20</v>
      </c>
      <c r="O27" s="81"/>
      <c r="P27" s="82"/>
      <c r="Q27" s="7"/>
    </row>
    <row r="28" spans="1:17" x14ac:dyDescent="0.25">
      <c r="A28" s="12"/>
      <c r="B28" s="13" t="s">
        <v>1</v>
      </c>
      <c r="C28" s="13" t="s">
        <v>2</v>
      </c>
      <c r="D28" s="13" t="s">
        <v>3</v>
      </c>
      <c r="P28" s="14"/>
      <c r="Q28" s="7"/>
    </row>
    <row r="29" spans="1:17" ht="45" x14ac:dyDescent="0.25">
      <c r="A29" s="37" t="s">
        <v>9</v>
      </c>
      <c r="B29" s="27"/>
      <c r="F29" s="38" t="s">
        <v>9</v>
      </c>
      <c r="H29" s="5" t="s">
        <v>16</v>
      </c>
      <c r="I29" s="5" t="s">
        <v>17</v>
      </c>
      <c r="J29" s="17" t="s">
        <v>35</v>
      </c>
      <c r="K29" s="39" t="s">
        <v>19</v>
      </c>
      <c r="L29" s="19" t="s">
        <v>18</v>
      </c>
      <c r="N29" s="38" t="s">
        <v>9</v>
      </c>
      <c r="O29" s="11" t="s">
        <v>20</v>
      </c>
      <c r="P29" s="20">
        <f>SUM(D33+L30)</f>
        <v>1249</v>
      </c>
      <c r="Q29" s="7"/>
    </row>
    <row r="30" spans="1:17" x14ac:dyDescent="0.25">
      <c r="A30" s="12" t="s">
        <v>32</v>
      </c>
      <c r="B30" s="21">
        <f>B7</f>
        <v>100</v>
      </c>
      <c r="C30" s="22">
        <f>'Basic Cost Length Information'!B9</f>
        <v>1.05</v>
      </c>
      <c r="D30" s="23">
        <f>C30*B30*$C$2/12</f>
        <v>315</v>
      </c>
      <c r="G30" s="5" t="s">
        <v>15</v>
      </c>
      <c r="H30" s="40">
        <f>H7</f>
        <v>75</v>
      </c>
      <c r="I30" s="25">
        <f>SUM(H30/60)</f>
        <v>1.25</v>
      </c>
      <c r="J30" s="26">
        <f>'Basic Cost Length Information'!B16</f>
        <v>4</v>
      </c>
      <c r="K30" s="27">
        <f>B30*J30</f>
        <v>400</v>
      </c>
      <c r="L30" s="25">
        <f>SUM(I30*K30)</f>
        <v>500</v>
      </c>
      <c r="O30" s="10" t="s">
        <v>21</v>
      </c>
      <c r="P30" s="41">
        <f>SUM((P6-P29)/P6)</f>
        <v>0.35585353274883963</v>
      </c>
      <c r="Q30" s="7"/>
    </row>
    <row r="31" spans="1:17" x14ac:dyDescent="0.25">
      <c r="A31" s="12" t="s">
        <v>10</v>
      </c>
      <c r="B31" s="13">
        <f>$B$30*2</f>
        <v>200</v>
      </c>
      <c r="C31" s="22">
        <f>'Basic Cost Length Information'!B10</f>
        <v>1.3</v>
      </c>
      <c r="D31" s="23">
        <f t="shared" si="0"/>
        <v>260</v>
      </c>
      <c r="P31" s="14"/>
      <c r="Q31" s="7"/>
    </row>
    <row r="32" spans="1:17" x14ac:dyDescent="0.25">
      <c r="A32" s="12" t="s">
        <v>8</v>
      </c>
      <c r="B32" s="13">
        <f>$B$30*2</f>
        <v>200</v>
      </c>
      <c r="C32" s="22">
        <f>'Basic Cost Length Information'!B8</f>
        <v>0.87</v>
      </c>
      <c r="D32" s="23">
        <f t="shared" si="0"/>
        <v>174</v>
      </c>
      <c r="P32" s="14"/>
      <c r="Q32" s="7"/>
    </row>
    <row r="33" spans="1:17" x14ac:dyDescent="0.25">
      <c r="A33" s="12" t="s">
        <v>11</v>
      </c>
      <c r="D33" s="25">
        <f>SUM(D30:D32)</f>
        <v>749</v>
      </c>
      <c r="P33" s="14"/>
      <c r="Q33" s="7"/>
    </row>
    <row r="34" spans="1:17" ht="15.75" thickBot="1" x14ac:dyDescent="0.3">
      <c r="A34" s="30"/>
      <c r="B34" s="33"/>
      <c r="C34" s="33"/>
      <c r="D34" s="33"/>
      <c r="E34" s="33"/>
      <c r="F34" s="33"/>
      <c r="G34" s="33"/>
      <c r="H34" s="33"/>
      <c r="I34" s="33"/>
      <c r="J34" s="34"/>
      <c r="K34" s="33"/>
      <c r="L34" s="33"/>
      <c r="M34" s="33"/>
      <c r="N34" s="33"/>
      <c r="O34" s="33"/>
      <c r="P34" s="36"/>
      <c r="Q34" s="7"/>
    </row>
  </sheetData>
  <sheetProtection algorithmName="SHA-512" hashValue="sKo8q4ppK41dVddQdS8Mrr5UHfdWYzy/OFCIbQxtq/ul3cKbitPz/qUbAc00nhWwNC4LVn78t5y2SUpkLOOvvw==" saltValue="mkPDc8EH4xQZrPOu7FWyag==" spinCount="100000" sheet="1" objects="1" scenarios="1"/>
  <mergeCells count="18">
    <mergeCell ref="A1:P1"/>
    <mergeCell ref="A13:P13"/>
    <mergeCell ref="A24:P24"/>
    <mergeCell ref="A4:D4"/>
    <mergeCell ref="A16:D16"/>
    <mergeCell ref="F16:L16"/>
    <mergeCell ref="A2:B2"/>
    <mergeCell ref="A3:B3"/>
    <mergeCell ref="A14:B14"/>
    <mergeCell ref="A15:B15"/>
    <mergeCell ref="F4:L4"/>
    <mergeCell ref="N16:P16"/>
    <mergeCell ref="N4:P4"/>
    <mergeCell ref="N27:P27"/>
    <mergeCell ref="A25:B25"/>
    <mergeCell ref="A26:B26"/>
    <mergeCell ref="A27:D27"/>
    <mergeCell ref="F27:L27"/>
  </mergeCells>
  <pageMargins left="0.7" right="0.7" top="0.75" bottom="0.75" header="0.3" footer="0.3"/>
  <pageSetup scale="75" orientation="landscape" r:id="rId1"/>
  <headerFooter>
    <oddHeader>&amp;C&amp;"-,Bold Italic"&amp;18B-Line Cost Savings Calculator: 1-5/8" X 1-5/8" Strut vs.  4D21 Series Strut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34"/>
  <sheetViews>
    <sheetView workbookViewId="0">
      <selection sqref="A1:P1"/>
    </sheetView>
  </sheetViews>
  <sheetFormatPr defaultColWidth="8.7109375" defaultRowHeight="15" x14ac:dyDescent="0.25"/>
  <cols>
    <col min="1" max="1" width="18.28515625" style="1" bestFit="1" customWidth="1"/>
    <col min="2" max="2" width="5" style="1" bestFit="1" customWidth="1"/>
    <col min="3" max="3" width="8.7109375" style="1"/>
    <col min="4" max="4" width="10.42578125" style="1" bestFit="1" customWidth="1"/>
    <col min="5" max="5" width="2" style="1" customWidth="1"/>
    <col min="6" max="6" width="9.28515625" style="1" bestFit="1" customWidth="1"/>
    <col min="7" max="7" width="16.42578125" style="1" customWidth="1"/>
    <col min="8" max="8" width="8.7109375" style="1"/>
    <col min="9" max="9" width="10.7109375" style="1" bestFit="1" customWidth="1"/>
    <col min="10" max="10" width="10.7109375" style="3" customWidth="1"/>
    <col min="11" max="11" width="9.7109375" style="1" bestFit="1" customWidth="1"/>
    <col min="12" max="12" width="10.7109375" style="1" bestFit="1" customWidth="1"/>
    <col min="13" max="13" width="2.42578125" style="1" customWidth="1"/>
    <col min="14" max="14" width="9.28515625" style="1" bestFit="1" customWidth="1"/>
    <col min="15" max="15" width="18.42578125" style="1" bestFit="1" customWidth="1"/>
    <col min="16" max="16" width="12.7109375" style="1" customWidth="1"/>
    <col min="17" max="16384" width="8.7109375" style="1"/>
  </cols>
  <sheetData>
    <row r="1" spans="1:17" ht="21" x14ac:dyDescent="0.35">
      <c r="A1" s="90" t="str">
        <f>B7&amp;" pieces of "&amp;C2&amp;" Inch, 1-5/8 X 1-5/8 Strut Trapeze Assembly"</f>
        <v>100 pieces of 36 Inch, 1-5/8 X 1-5/8 Strut Trapeze Assembly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2"/>
    </row>
    <row r="2" spans="1:17" x14ac:dyDescent="0.25">
      <c r="A2" s="83" t="s">
        <v>23</v>
      </c>
      <c r="B2" s="84"/>
      <c r="C2" s="4">
        <f>'Basic Cost Length Information'!B2</f>
        <v>36</v>
      </c>
      <c r="D2" s="5"/>
      <c r="E2" s="5"/>
      <c r="F2" s="6"/>
      <c r="G2" s="7"/>
      <c r="H2" s="5"/>
      <c r="I2" s="5"/>
      <c r="J2" s="8"/>
      <c r="K2" s="5"/>
      <c r="L2" s="5"/>
      <c r="M2" s="5"/>
      <c r="N2" s="5"/>
      <c r="O2" s="6"/>
      <c r="P2" s="9"/>
      <c r="Q2" s="2"/>
    </row>
    <row r="3" spans="1:17" ht="30" customHeight="1" x14ac:dyDescent="0.25">
      <c r="A3" s="85" t="s">
        <v>33</v>
      </c>
      <c r="B3" s="86"/>
      <c r="C3" s="11">
        <f>LOOKUP(C2,Sheet2!B65:B83,Sheet2!D65:D83)</f>
        <v>1135</v>
      </c>
      <c r="D3" s="5"/>
      <c r="E3" s="5"/>
      <c r="F3" s="6"/>
      <c r="G3" s="7"/>
      <c r="H3" s="5"/>
      <c r="I3" s="5"/>
      <c r="J3" s="8"/>
      <c r="K3" s="5"/>
      <c r="L3" s="5"/>
      <c r="M3" s="5"/>
      <c r="N3" s="5"/>
      <c r="O3" s="6"/>
      <c r="P3" s="9"/>
      <c r="Q3" s="2"/>
    </row>
    <row r="4" spans="1:17" x14ac:dyDescent="0.25">
      <c r="A4" s="83" t="s">
        <v>14</v>
      </c>
      <c r="B4" s="87"/>
      <c r="C4" s="88"/>
      <c r="D4" s="89"/>
      <c r="E4" s="11"/>
      <c r="F4" s="80" t="s">
        <v>13</v>
      </c>
      <c r="G4" s="87"/>
      <c r="H4" s="88"/>
      <c r="I4" s="88"/>
      <c r="J4" s="88"/>
      <c r="K4" s="88"/>
      <c r="L4" s="89"/>
      <c r="M4" s="11"/>
      <c r="N4" s="80" t="s">
        <v>20</v>
      </c>
      <c r="O4" s="81"/>
      <c r="P4" s="82"/>
      <c r="Q4" s="2"/>
    </row>
    <row r="5" spans="1:17" x14ac:dyDescent="0.25">
      <c r="A5" s="12"/>
      <c r="B5" s="13" t="s">
        <v>1</v>
      </c>
      <c r="C5" s="13" t="s">
        <v>2</v>
      </c>
      <c r="D5" s="13" t="s">
        <v>3</v>
      </c>
      <c r="E5" s="5"/>
      <c r="F5" s="5"/>
      <c r="G5" s="5"/>
      <c r="H5" s="5"/>
      <c r="I5" s="5"/>
      <c r="J5" s="8"/>
      <c r="K5" s="5"/>
      <c r="L5" s="5"/>
      <c r="M5" s="5"/>
      <c r="N5" s="5"/>
      <c r="O5" s="5"/>
      <c r="P5" s="14"/>
      <c r="Q5" s="2"/>
    </row>
    <row r="6" spans="1:17" ht="45" x14ac:dyDescent="0.25">
      <c r="A6" s="15" t="s">
        <v>37</v>
      </c>
      <c r="B6" s="5"/>
      <c r="C6" s="5"/>
      <c r="D6" s="5"/>
      <c r="E6" s="5"/>
      <c r="F6" s="16" t="s">
        <v>0</v>
      </c>
      <c r="G6" s="5"/>
      <c r="H6" s="5" t="s">
        <v>16</v>
      </c>
      <c r="I6" s="5" t="s">
        <v>17</v>
      </c>
      <c r="J6" s="17" t="s">
        <v>35</v>
      </c>
      <c r="K6" s="18" t="s">
        <v>34</v>
      </c>
      <c r="L6" s="19" t="s">
        <v>18</v>
      </c>
      <c r="M6" s="5"/>
      <c r="N6" s="16" t="s">
        <v>0</v>
      </c>
      <c r="O6" s="11" t="s">
        <v>20</v>
      </c>
      <c r="P6" s="20">
        <f>SUM(D12+L7)</f>
        <v>1939</v>
      </c>
      <c r="Q6" s="2"/>
    </row>
    <row r="7" spans="1:17" x14ac:dyDescent="0.25">
      <c r="A7" s="12" t="s">
        <v>32</v>
      </c>
      <c r="B7" s="21">
        <f>'Basic Cost Length Information'!B3</f>
        <v>100</v>
      </c>
      <c r="C7" s="22">
        <f>'Basic Cost Length Information'!B4</f>
        <v>1.1499999999999999</v>
      </c>
      <c r="D7" s="23">
        <f>C7*B7*$C$2/12</f>
        <v>344.99999999999994</v>
      </c>
      <c r="E7" s="24"/>
      <c r="F7" s="5"/>
      <c r="G7" s="5" t="s">
        <v>15</v>
      </c>
      <c r="H7" s="22">
        <f>'Basic Cost Length Information'!B13</f>
        <v>75</v>
      </c>
      <c r="I7" s="25">
        <f>SUM(H7/60)</f>
        <v>1.25</v>
      </c>
      <c r="J7" s="26">
        <f>'Basic Cost Length Information'!B14</f>
        <v>10</v>
      </c>
      <c r="K7" s="27">
        <f>B7*J7</f>
        <v>1000</v>
      </c>
      <c r="L7" s="25">
        <f>SUM(I7*K7)</f>
        <v>1250</v>
      </c>
      <c r="M7" s="5"/>
      <c r="N7" s="5"/>
      <c r="O7" s="5" t="s">
        <v>22</v>
      </c>
      <c r="P7" s="14"/>
      <c r="Q7" s="2"/>
    </row>
    <row r="8" spans="1:17" x14ac:dyDescent="0.25">
      <c r="A8" s="12" t="s">
        <v>4</v>
      </c>
      <c r="B8" s="13">
        <f>4*B7</f>
        <v>400</v>
      </c>
      <c r="C8" s="22">
        <f>'Basic Cost Length Information'!B5</f>
        <v>0.06</v>
      </c>
      <c r="D8" s="23">
        <f t="shared" ref="D8:D32" si="0">SUM(C8*B8)</f>
        <v>24</v>
      </c>
      <c r="E8" s="24"/>
      <c r="F8" s="5"/>
      <c r="G8" s="5"/>
      <c r="H8" s="28"/>
      <c r="I8" s="5"/>
      <c r="J8" s="8"/>
      <c r="K8" s="29"/>
      <c r="L8" s="5"/>
      <c r="M8" s="5"/>
      <c r="N8" s="5"/>
      <c r="O8" s="5"/>
      <c r="P8" s="14"/>
      <c r="Q8" s="2"/>
    </row>
    <row r="9" spans="1:17" x14ac:dyDescent="0.25">
      <c r="A9" s="12" t="s">
        <v>12</v>
      </c>
      <c r="B9" s="13">
        <f>4*B7</f>
        <v>400</v>
      </c>
      <c r="C9" s="22">
        <f>'Basic Cost Length Information'!B6</f>
        <v>0.35</v>
      </c>
      <c r="D9" s="23">
        <f t="shared" si="0"/>
        <v>140</v>
      </c>
      <c r="E9" s="24"/>
      <c r="F9" s="5"/>
      <c r="G9" s="5"/>
      <c r="H9" s="28"/>
      <c r="I9" s="5"/>
      <c r="J9" s="8"/>
      <c r="K9" s="29"/>
      <c r="L9" s="5"/>
      <c r="M9" s="5"/>
      <c r="N9" s="5"/>
      <c r="O9" s="5"/>
      <c r="P9" s="14"/>
      <c r="Q9" s="2"/>
    </row>
    <row r="10" spans="1:17" x14ac:dyDescent="0.25">
      <c r="A10" s="12" t="s">
        <v>5</v>
      </c>
      <c r="B10" s="13">
        <f>B7*2</f>
        <v>200</v>
      </c>
      <c r="C10" s="22">
        <f>'Basic Cost Length Information'!B7</f>
        <v>0.03</v>
      </c>
      <c r="D10" s="23">
        <f t="shared" si="0"/>
        <v>6</v>
      </c>
      <c r="E10" s="5"/>
      <c r="F10" s="5"/>
      <c r="G10" s="5"/>
      <c r="H10" s="5"/>
      <c r="I10" s="5"/>
      <c r="J10" s="8"/>
      <c r="K10" s="29"/>
      <c r="L10" s="5"/>
      <c r="M10" s="5"/>
      <c r="N10" s="5"/>
      <c r="O10" s="5"/>
      <c r="P10" s="14"/>
      <c r="Q10" s="2"/>
    </row>
    <row r="11" spans="1:17" x14ac:dyDescent="0.25">
      <c r="A11" s="12" t="s">
        <v>8</v>
      </c>
      <c r="B11" s="13">
        <f>2*B7</f>
        <v>200</v>
      </c>
      <c r="C11" s="22">
        <f>'Basic Cost Length Information'!B8</f>
        <v>0.87</v>
      </c>
      <c r="D11" s="23">
        <f t="shared" si="0"/>
        <v>174</v>
      </c>
      <c r="E11" s="5"/>
      <c r="F11" s="5"/>
      <c r="G11" s="5"/>
      <c r="H11" s="5"/>
      <c r="I11" s="5"/>
      <c r="J11" s="8"/>
      <c r="K11" s="29"/>
      <c r="L11" s="5"/>
      <c r="M11" s="5"/>
      <c r="N11" s="5"/>
      <c r="O11" s="5"/>
      <c r="P11" s="14"/>
      <c r="Q11" s="2"/>
    </row>
    <row r="12" spans="1:17" ht="15.75" thickBot="1" x14ac:dyDescent="0.3">
      <c r="A12" s="30" t="s">
        <v>11</v>
      </c>
      <c r="B12" s="31"/>
      <c r="C12" s="32"/>
      <c r="D12" s="32">
        <f>SUM(D7:D11)</f>
        <v>689</v>
      </c>
      <c r="E12" s="33"/>
      <c r="F12" s="33"/>
      <c r="G12" s="33"/>
      <c r="H12" s="33"/>
      <c r="I12" s="33"/>
      <c r="J12" s="34"/>
      <c r="K12" s="35"/>
      <c r="L12" s="33"/>
      <c r="M12" s="33"/>
      <c r="N12" s="33"/>
      <c r="O12" s="33"/>
      <c r="P12" s="36"/>
      <c r="Q12" s="2"/>
    </row>
    <row r="13" spans="1:17" ht="21" x14ac:dyDescent="0.35">
      <c r="A13" s="90" t="str">
        <f>B7&amp;" pieces of "&amp;C14&amp;" Inch, 4D21 - Flip Clip Trapeze Assembly"</f>
        <v>100 pieces of 18 Inch, 4D21 - Flip Clip Trapeze Assembly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2"/>
    </row>
    <row r="14" spans="1:17" x14ac:dyDescent="0.25">
      <c r="A14" s="83" t="s">
        <v>23</v>
      </c>
      <c r="B14" s="84"/>
      <c r="C14" s="11">
        <f>C2*0.5</f>
        <v>18</v>
      </c>
      <c r="D14" s="5"/>
      <c r="E14" s="5"/>
      <c r="F14" s="6"/>
      <c r="G14" s="7"/>
      <c r="H14" s="5"/>
      <c r="I14" s="5"/>
      <c r="J14" s="8"/>
      <c r="K14" s="5"/>
      <c r="L14" s="5"/>
      <c r="M14" s="5"/>
      <c r="N14" s="5"/>
      <c r="O14" s="6"/>
      <c r="P14" s="9"/>
      <c r="Q14" s="2"/>
    </row>
    <row r="15" spans="1:17" ht="30" customHeight="1" x14ac:dyDescent="0.25">
      <c r="A15" s="85" t="s">
        <v>33</v>
      </c>
      <c r="B15" s="86"/>
      <c r="C15" s="11">
        <f>LOOKUP(C2*0.5,Sheet2!B4:B22,Sheet2!D4:D22)</f>
        <v>700</v>
      </c>
      <c r="D15" s="5"/>
      <c r="E15" s="5"/>
      <c r="F15" s="6"/>
      <c r="G15" s="7"/>
      <c r="H15" s="5"/>
      <c r="I15" s="5"/>
      <c r="J15" s="8"/>
      <c r="K15" s="5"/>
      <c r="L15" s="5"/>
      <c r="M15" s="5"/>
      <c r="N15" s="5"/>
      <c r="O15" s="6"/>
      <c r="P15" s="9"/>
      <c r="Q15" s="2"/>
    </row>
    <row r="16" spans="1:17" x14ac:dyDescent="0.25">
      <c r="A16" s="83" t="s">
        <v>14</v>
      </c>
      <c r="B16" s="87"/>
      <c r="C16" s="88"/>
      <c r="D16" s="89"/>
      <c r="E16" s="11"/>
      <c r="F16" s="80" t="s">
        <v>13</v>
      </c>
      <c r="G16" s="87"/>
      <c r="H16" s="88"/>
      <c r="I16" s="88"/>
      <c r="J16" s="88"/>
      <c r="K16" s="88"/>
      <c r="L16" s="89"/>
      <c r="M16" s="11"/>
      <c r="N16" s="80" t="s">
        <v>20</v>
      </c>
      <c r="O16" s="81"/>
      <c r="P16" s="82"/>
      <c r="Q16" s="2"/>
    </row>
    <row r="17" spans="1:17" x14ac:dyDescent="0.25">
      <c r="A17" s="12"/>
      <c r="B17" s="13" t="s">
        <v>1</v>
      </c>
      <c r="C17" s="13" t="s">
        <v>2</v>
      </c>
      <c r="D17" s="13" t="s">
        <v>3</v>
      </c>
      <c r="E17" s="5"/>
      <c r="F17" s="5"/>
      <c r="G17" s="5"/>
      <c r="H17" s="5"/>
      <c r="I17" s="5"/>
      <c r="J17" s="8"/>
      <c r="K17" s="5"/>
      <c r="L17" s="5"/>
      <c r="M17" s="5"/>
      <c r="N17" s="5"/>
      <c r="O17" s="5"/>
      <c r="P17" s="14"/>
      <c r="Q17" s="2"/>
    </row>
    <row r="18" spans="1:17" ht="45" x14ac:dyDescent="0.25">
      <c r="A18" s="37" t="s">
        <v>6</v>
      </c>
      <c r="B18" s="13"/>
      <c r="C18" s="5"/>
      <c r="D18" s="5"/>
      <c r="E18" s="5"/>
      <c r="F18" s="38" t="s">
        <v>6</v>
      </c>
      <c r="G18" s="5"/>
      <c r="H18" s="5" t="s">
        <v>16</v>
      </c>
      <c r="I18" s="5" t="s">
        <v>17</v>
      </c>
      <c r="J18" s="17" t="s">
        <v>35</v>
      </c>
      <c r="K18" s="39" t="s">
        <v>19</v>
      </c>
      <c r="L18" s="19" t="s">
        <v>18</v>
      </c>
      <c r="M18" s="5"/>
      <c r="N18" s="38" t="s">
        <v>6</v>
      </c>
      <c r="O18" s="11" t="s">
        <v>20</v>
      </c>
      <c r="P18" s="20">
        <f>SUM(D23+L19)</f>
        <v>1258.5</v>
      </c>
      <c r="Q18" s="2"/>
    </row>
    <row r="19" spans="1:17" x14ac:dyDescent="0.25">
      <c r="A19" s="12" t="s">
        <v>32</v>
      </c>
      <c r="B19" s="21">
        <f>B7</f>
        <v>100</v>
      </c>
      <c r="C19" s="22">
        <f>'Basic Cost Length Information'!B9</f>
        <v>1.05</v>
      </c>
      <c r="D19" s="23">
        <f>C19*B19*($C$14-4)/12</f>
        <v>122.5</v>
      </c>
      <c r="E19" s="5"/>
      <c r="F19" s="5"/>
      <c r="G19" s="5" t="s">
        <v>15</v>
      </c>
      <c r="H19" s="40">
        <f>H7</f>
        <v>75</v>
      </c>
      <c r="I19" s="25">
        <f>SUM(H19/60)</f>
        <v>1.25</v>
      </c>
      <c r="J19" s="26">
        <f>'Basic Cost Length Information'!B15</f>
        <v>6</v>
      </c>
      <c r="K19" s="27">
        <f>B19*J19</f>
        <v>600</v>
      </c>
      <c r="L19" s="25">
        <f>SUM(I19*K19)</f>
        <v>750</v>
      </c>
      <c r="M19" s="5"/>
      <c r="N19" s="5"/>
      <c r="O19" s="10" t="s">
        <v>21</v>
      </c>
      <c r="P19" s="41">
        <f>SUM((P6-P18)/P6)</f>
        <v>0.35095410005157296</v>
      </c>
      <c r="Q19" s="2"/>
    </row>
    <row r="20" spans="1:17" x14ac:dyDescent="0.25">
      <c r="A20" s="12" t="s">
        <v>4</v>
      </c>
      <c r="B20" s="27">
        <f>$B$19*2</f>
        <v>200</v>
      </c>
      <c r="C20" s="22">
        <f>'Basic Cost Length Information'!B5</f>
        <v>0.06</v>
      </c>
      <c r="D20" s="23">
        <f t="shared" si="0"/>
        <v>12</v>
      </c>
      <c r="E20" s="5"/>
      <c r="F20" s="5"/>
      <c r="G20" s="5"/>
      <c r="H20" s="5"/>
      <c r="I20" s="5"/>
      <c r="J20" s="8"/>
      <c r="K20" s="29"/>
      <c r="L20" s="5"/>
      <c r="M20" s="5"/>
      <c r="N20" s="5"/>
      <c r="O20" s="5"/>
      <c r="P20" s="14"/>
      <c r="Q20" s="2"/>
    </row>
    <row r="21" spans="1:17" x14ac:dyDescent="0.25">
      <c r="A21" s="12" t="s">
        <v>7</v>
      </c>
      <c r="B21" s="27">
        <f t="shared" ref="B21:B22" si="1">$B$19*2</f>
        <v>200</v>
      </c>
      <c r="C21" s="22">
        <f>'Basic Cost Length Information'!B11</f>
        <v>1</v>
      </c>
      <c r="D21" s="23">
        <f t="shared" si="0"/>
        <v>200</v>
      </c>
      <c r="E21" s="5"/>
      <c r="F21" s="5"/>
      <c r="G21" s="5"/>
      <c r="H21" s="5"/>
      <c r="I21" s="5"/>
      <c r="J21" s="8"/>
      <c r="K21" s="29"/>
      <c r="L21" s="5"/>
      <c r="M21" s="5"/>
      <c r="N21" s="5"/>
      <c r="O21" s="5"/>
      <c r="P21" s="14"/>
      <c r="Q21" s="2"/>
    </row>
    <row r="22" spans="1:17" x14ac:dyDescent="0.25">
      <c r="A22" s="12" t="s">
        <v>8</v>
      </c>
      <c r="B22" s="27">
        <f t="shared" si="1"/>
        <v>200</v>
      </c>
      <c r="C22" s="22">
        <f>'Basic Cost Length Information'!B8</f>
        <v>0.87</v>
      </c>
      <c r="D22" s="23">
        <f t="shared" si="0"/>
        <v>174</v>
      </c>
      <c r="E22" s="5"/>
      <c r="F22" s="5"/>
      <c r="G22" s="5"/>
      <c r="H22" s="5"/>
      <c r="I22" s="5"/>
      <c r="J22" s="8"/>
      <c r="K22" s="29"/>
      <c r="L22" s="5"/>
      <c r="M22" s="5"/>
      <c r="N22" s="5"/>
      <c r="O22" s="5"/>
      <c r="P22" s="14"/>
      <c r="Q22" s="2"/>
    </row>
    <row r="23" spans="1:17" ht="15.75" thickBot="1" x14ac:dyDescent="0.3">
      <c r="A23" s="30" t="s">
        <v>11</v>
      </c>
      <c r="B23" s="42"/>
      <c r="C23" s="32"/>
      <c r="D23" s="32">
        <f>SUM(D19:D22)</f>
        <v>508.5</v>
      </c>
      <c r="E23" s="33"/>
      <c r="F23" s="33"/>
      <c r="G23" s="33"/>
      <c r="H23" s="33"/>
      <c r="I23" s="33"/>
      <c r="J23" s="34"/>
      <c r="K23" s="35"/>
      <c r="L23" s="33"/>
      <c r="M23" s="33"/>
      <c r="N23" s="33"/>
      <c r="O23" s="33"/>
      <c r="P23" s="36"/>
      <c r="Q23" s="2"/>
    </row>
    <row r="24" spans="1:17" ht="21" x14ac:dyDescent="0.35">
      <c r="A24" s="90" t="str">
        <f>B7&amp;" pieces of "&amp;C25&amp;" Inch, 4D21 - Turn Lock Trapeze Assembly"</f>
        <v>100 pieces of 18 Inch, 4D21 - Turn Lock Trapeze Assembly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2"/>
    </row>
    <row r="25" spans="1:17" x14ac:dyDescent="0.25">
      <c r="A25" s="83" t="s">
        <v>23</v>
      </c>
      <c r="B25" s="84"/>
      <c r="C25" s="11">
        <f>C2*0.5</f>
        <v>18</v>
      </c>
      <c r="D25" s="5"/>
      <c r="E25" s="5"/>
      <c r="F25" s="6"/>
      <c r="G25" s="7"/>
      <c r="H25" s="5"/>
      <c r="I25" s="5"/>
      <c r="J25" s="8"/>
      <c r="K25" s="5"/>
      <c r="L25" s="5"/>
      <c r="M25" s="5"/>
      <c r="N25" s="5"/>
      <c r="O25" s="6"/>
      <c r="P25" s="9"/>
      <c r="Q25" s="2"/>
    </row>
    <row r="26" spans="1:17" ht="30" customHeight="1" x14ac:dyDescent="0.25">
      <c r="A26" s="85" t="s">
        <v>33</v>
      </c>
      <c r="B26" s="86"/>
      <c r="C26" s="11">
        <f>LOOKUP(C2*0.5,Sheet2!B4:B22,Sheet2!D4:D22)</f>
        <v>700</v>
      </c>
      <c r="D26" s="5"/>
      <c r="E26" s="5"/>
      <c r="F26" s="6"/>
      <c r="G26" s="7"/>
      <c r="H26" s="5"/>
      <c r="I26" s="5"/>
      <c r="J26" s="8"/>
      <c r="K26" s="5"/>
      <c r="L26" s="5"/>
      <c r="M26" s="5"/>
      <c r="N26" s="5"/>
      <c r="O26" s="6"/>
      <c r="P26" s="9"/>
      <c r="Q26" s="2"/>
    </row>
    <row r="27" spans="1:17" x14ac:dyDescent="0.25">
      <c r="A27" s="83" t="s">
        <v>14</v>
      </c>
      <c r="B27" s="87"/>
      <c r="C27" s="88"/>
      <c r="D27" s="89"/>
      <c r="E27" s="11"/>
      <c r="F27" s="80" t="s">
        <v>13</v>
      </c>
      <c r="G27" s="87"/>
      <c r="H27" s="88"/>
      <c r="I27" s="88"/>
      <c r="J27" s="88"/>
      <c r="K27" s="88"/>
      <c r="L27" s="89"/>
      <c r="M27" s="11"/>
      <c r="N27" s="80" t="s">
        <v>20</v>
      </c>
      <c r="O27" s="81"/>
      <c r="P27" s="82"/>
      <c r="Q27" s="2"/>
    </row>
    <row r="28" spans="1:17" x14ac:dyDescent="0.25">
      <c r="A28" s="12"/>
      <c r="B28" s="13" t="s">
        <v>1</v>
      </c>
      <c r="C28" s="13" t="s">
        <v>2</v>
      </c>
      <c r="D28" s="13" t="s">
        <v>3</v>
      </c>
      <c r="E28" s="5"/>
      <c r="F28" s="5"/>
      <c r="G28" s="5"/>
      <c r="H28" s="5"/>
      <c r="I28" s="5"/>
      <c r="J28" s="8"/>
      <c r="K28" s="5"/>
      <c r="L28" s="5"/>
      <c r="M28" s="5"/>
      <c r="N28" s="5"/>
      <c r="O28" s="5"/>
      <c r="P28" s="14"/>
      <c r="Q28" s="2"/>
    </row>
    <row r="29" spans="1:17" ht="45" x14ac:dyDescent="0.25">
      <c r="A29" s="37" t="s">
        <v>9</v>
      </c>
      <c r="B29" s="27"/>
      <c r="C29" s="5"/>
      <c r="D29" s="5"/>
      <c r="E29" s="5"/>
      <c r="F29" s="38" t="s">
        <v>9</v>
      </c>
      <c r="G29" s="5"/>
      <c r="H29" s="5" t="s">
        <v>16</v>
      </c>
      <c r="I29" s="5" t="s">
        <v>17</v>
      </c>
      <c r="J29" s="17" t="s">
        <v>35</v>
      </c>
      <c r="K29" s="39" t="s">
        <v>19</v>
      </c>
      <c r="L29" s="19" t="s">
        <v>18</v>
      </c>
      <c r="M29" s="5"/>
      <c r="N29" s="38" t="s">
        <v>9</v>
      </c>
      <c r="O29" s="11" t="s">
        <v>20</v>
      </c>
      <c r="P29" s="20">
        <f>SUM(D33+L30)</f>
        <v>1251.5</v>
      </c>
      <c r="Q29" s="2"/>
    </row>
    <row r="30" spans="1:17" x14ac:dyDescent="0.25">
      <c r="A30" s="12" t="s">
        <v>32</v>
      </c>
      <c r="B30" s="21">
        <f>B7</f>
        <v>100</v>
      </c>
      <c r="C30" s="22">
        <f>'Basic Cost Length Information'!B9</f>
        <v>1.05</v>
      </c>
      <c r="D30" s="23">
        <f>C30*B30*$C$25/12</f>
        <v>157.5</v>
      </c>
      <c r="E30" s="5"/>
      <c r="F30" s="5"/>
      <c r="G30" s="5" t="s">
        <v>15</v>
      </c>
      <c r="H30" s="40">
        <f>H7</f>
        <v>75</v>
      </c>
      <c r="I30" s="25">
        <f>SUM(H30/60)</f>
        <v>1.25</v>
      </c>
      <c r="J30" s="26">
        <f>'Basic Cost Length Information'!B16</f>
        <v>4</v>
      </c>
      <c r="K30" s="27">
        <f>B30*J30</f>
        <v>400</v>
      </c>
      <c r="L30" s="25">
        <f>SUM(I30*K30)</f>
        <v>500</v>
      </c>
      <c r="M30" s="5"/>
      <c r="N30" s="5"/>
      <c r="O30" s="10" t="s">
        <v>21</v>
      </c>
      <c r="P30" s="41">
        <f>SUM((P6-P29)/P6)</f>
        <v>0.35456420835482205</v>
      </c>
      <c r="Q30" s="2"/>
    </row>
    <row r="31" spans="1:17" x14ac:dyDescent="0.25">
      <c r="A31" s="12" t="s">
        <v>10</v>
      </c>
      <c r="B31" s="13">
        <f>$B$30*2</f>
        <v>200</v>
      </c>
      <c r="C31" s="22">
        <f>'Basic Cost Length Information'!B12</f>
        <v>2.1</v>
      </c>
      <c r="D31" s="23">
        <f t="shared" si="0"/>
        <v>420</v>
      </c>
      <c r="E31" s="5"/>
      <c r="F31" s="5"/>
      <c r="G31" s="5"/>
      <c r="H31" s="5"/>
      <c r="I31" s="5"/>
      <c r="J31" s="8"/>
      <c r="K31" s="5"/>
      <c r="L31" s="5"/>
      <c r="M31" s="5"/>
      <c r="N31" s="5"/>
      <c r="O31" s="5"/>
      <c r="P31" s="14"/>
      <c r="Q31" s="2"/>
    </row>
    <row r="32" spans="1:17" x14ac:dyDescent="0.25">
      <c r="A32" s="12" t="s">
        <v>8</v>
      </c>
      <c r="B32" s="13">
        <f>$B$30*2</f>
        <v>200</v>
      </c>
      <c r="C32" s="22">
        <f>'Basic Cost Length Information'!B8</f>
        <v>0.87</v>
      </c>
      <c r="D32" s="23">
        <f t="shared" si="0"/>
        <v>174</v>
      </c>
      <c r="E32" s="5"/>
      <c r="F32" s="5"/>
      <c r="G32" s="5"/>
      <c r="H32" s="5"/>
      <c r="I32" s="5"/>
      <c r="J32" s="8"/>
      <c r="K32" s="5"/>
      <c r="L32" s="5"/>
      <c r="M32" s="5"/>
      <c r="N32" s="5"/>
      <c r="O32" s="5"/>
      <c r="P32" s="14"/>
      <c r="Q32" s="2"/>
    </row>
    <row r="33" spans="1:17" x14ac:dyDescent="0.25">
      <c r="A33" s="12" t="s">
        <v>11</v>
      </c>
      <c r="B33" s="5"/>
      <c r="C33" s="5"/>
      <c r="D33" s="25">
        <f>SUM(D30:D32)</f>
        <v>751.5</v>
      </c>
      <c r="E33" s="5"/>
      <c r="F33" s="5"/>
      <c r="G33" s="5"/>
      <c r="H33" s="5"/>
      <c r="I33" s="5"/>
      <c r="J33" s="8"/>
      <c r="K33" s="5"/>
      <c r="L33" s="5"/>
      <c r="M33" s="5"/>
      <c r="N33" s="5"/>
      <c r="O33" s="5"/>
      <c r="P33" s="14"/>
      <c r="Q33" s="2"/>
    </row>
    <row r="34" spans="1:17" ht="15.75" thickBot="1" x14ac:dyDescent="0.3">
      <c r="A34" s="30"/>
      <c r="B34" s="33"/>
      <c r="C34" s="33"/>
      <c r="D34" s="33"/>
      <c r="E34" s="33"/>
      <c r="F34" s="33"/>
      <c r="G34" s="33"/>
      <c r="H34" s="33"/>
      <c r="I34" s="33"/>
      <c r="J34" s="34"/>
      <c r="K34" s="33"/>
      <c r="L34" s="33"/>
      <c r="M34" s="33"/>
      <c r="N34" s="33"/>
      <c r="O34" s="33"/>
      <c r="P34" s="36"/>
      <c r="Q34" s="2"/>
    </row>
  </sheetData>
  <mergeCells count="18">
    <mergeCell ref="A1:P1"/>
    <mergeCell ref="A2:B2"/>
    <mergeCell ref="A3:B3"/>
    <mergeCell ref="A4:D4"/>
    <mergeCell ref="F4:L4"/>
    <mergeCell ref="N4:P4"/>
    <mergeCell ref="A13:P13"/>
    <mergeCell ref="A14:B14"/>
    <mergeCell ref="A15:B15"/>
    <mergeCell ref="A16:D16"/>
    <mergeCell ref="F16:L16"/>
    <mergeCell ref="N16:P16"/>
    <mergeCell ref="A24:P24"/>
    <mergeCell ref="A25:B25"/>
    <mergeCell ref="A26:B26"/>
    <mergeCell ref="A27:D27"/>
    <mergeCell ref="F27:L27"/>
    <mergeCell ref="N27:P27"/>
  </mergeCells>
  <pageMargins left="0.7" right="0.7" top="0.75" bottom="0.75" header="0.3" footer="0.3"/>
  <pageSetup scale="74" orientation="landscape" horizontalDpi="4294967293" verticalDpi="4294967293" r:id="rId1"/>
  <headerFooter>
    <oddHeader>&amp;C&amp;"-,Bold Italic"&amp;18B-Line Cost Savings Calculator: 1-5/8" X 1-5/8" Strut vs. Half Length 4D21 Series Strut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34"/>
  <sheetViews>
    <sheetView topLeftCell="A19" workbookViewId="0">
      <selection sqref="A1:P1"/>
    </sheetView>
  </sheetViews>
  <sheetFormatPr defaultColWidth="8.7109375" defaultRowHeight="15" x14ac:dyDescent="0.25"/>
  <cols>
    <col min="1" max="1" width="18.28515625" style="5" bestFit="1" customWidth="1"/>
    <col min="2" max="2" width="5" style="5" bestFit="1" customWidth="1"/>
    <col min="3" max="3" width="8.7109375" style="5"/>
    <col min="4" max="4" width="10.42578125" style="5" bestFit="1" customWidth="1"/>
    <col min="5" max="5" width="2" style="5" customWidth="1"/>
    <col min="6" max="6" width="9.28515625" style="5" bestFit="1" customWidth="1"/>
    <col min="7" max="7" width="16.42578125" style="5" customWidth="1"/>
    <col min="8" max="8" width="8.7109375" style="5"/>
    <col min="9" max="9" width="10.7109375" style="5" bestFit="1" customWidth="1"/>
    <col min="10" max="10" width="10.7109375" style="8" customWidth="1"/>
    <col min="11" max="11" width="9.7109375" style="5" bestFit="1" customWidth="1"/>
    <col min="12" max="12" width="10.7109375" style="5" bestFit="1" customWidth="1"/>
    <col min="13" max="13" width="2.42578125" style="5" customWidth="1"/>
    <col min="14" max="14" width="9.28515625" style="5" bestFit="1" customWidth="1"/>
    <col min="15" max="15" width="18.42578125" style="5" bestFit="1" customWidth="1"/>
    <col min="16" max="16" width="12.7109375" style="5" customWidth="1"/>
    <col min="17" max="16384" width="8.7109375" style="5"/>
  </cols>
  <sheetData>
    <row r="1" spans="1:17" ht="21" x14ac:dyDescent="0.35">
      <c r="A1" s="90" t="str">
        <f>B7&amp;" pieces of "&amp;C2&amp;" Inch, 1-5/8 X 1-5/8 Strut Trapeze Assembly"</f>
        <v>100 pieces of 36 Inch, 1-5/8 X 1-5/8 Strut Trapeze Assembly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7"/>
    </row>
    <row r="2" spans="1:17" x14ac:dyDescent="0.25">
      <c r="A2" s="83" t="s">
        <v>23</v>
      </c>
      <c r="B2" s="84"/>
      <c r="C2" s="4">
        <f>'Basic Cost Length Information'!B2</f>
        <v>36</v>
      </c>
      <c r="F2" s="6"/>
      <c r="G2" s="7"/>
      <c r="O2" s="6"/>
      <c r="P2" s="9"/>
      <c r="Q2" s="7"/>
    </row>
    <row r="3" spans="1:17" ht="30" customHeight="1" x14ac:dyDescent="0.25">
      <c r="A3" s="85" t="s">
        <v>33</v>
      </c>
      <c r="B3" s="86"/>
      <c r="C3" s="11">
        <f>LOOKUP(C2,Sheet2!B65:B83,Sheet2!D65:D83)</f>
        <v>1135</v>
      </c>
      <c r="F3" s="6"/>
      <c r="G3" s="7"/>
      <c r="O3" s="6"/>
      <c r="P3" s="9"/>
      <c r="Q3" s="7"/>
    </row>
    <row r="4" spans="1:17" x14ac:dyDescent="0.25">
      <c r="A4" s="83" t="s">
        <v>14</v>
      </c>
      <c r="B4" s="87"/>
      <c r="C4" s="88"/>
      <c r="D4" s="89"/>
      <c r="E4" s="11"/>
      <c r="F4" s="80" t="s">
        <v>13</v>
      </c>
      <c r="G4" s="87"/>
      <c r="H4" s="88"/>
      <c r="I4" s="88"/>
      <c r="J4" s="88"/>
      <c r="K4" s="88"/>
      <c r="L4" s="89"/>
      <c r="M4" s="11"/>
      <c r="N4" s="80" t="s">
        <v>20</v>
      </c>
      <c r="O4" s="81"/>
      <c r="P4" s="82"/>
      <c r="Q4" s="7"/>
    </row>
    <row r="5" spans="1:17" x14ac:dyDescent="0.25">
      <c r="A5" s="12"/>
      <c r="B5" s="13" t="s">
        <v>1</v>
      </c>
      <c r="C5" s="13" t="s">
        <v>2</v>
      </c>
      <c r="D5" s="13" t="s">
        <v>3</v>
      </c>
      <c r="P5" s="14"/>
      <c r="Q5" s="7"/>
    </row>
    <row r="6" spans="1:17" ht="45" x14ac:dyDescent="0.25">
      <c r="A6" s="15" t="s">
        <v>37</v>
      </c>
      <c r="F6" s="16" t="s">
        <v>0</v>
      </c>
      <c r="H6" s="5" t="s">
        <v>16</v>
      </c>
      <c r="I6" s="5" t="s">
        <v>17</v>
      </c>
      <c r="J6" s="17" t="s">
        <v>35</v>
      </c>
      <c r="K6" s="18" t="s">
        <v>34</v>
      </c>
      <c r="L6" s="19" t="s">
        <v>18</v>
      </c>
      <c r="N6" s="16" t="s">
        <v>0</v>
      </c>
      <c r="O6" s="11" t="s">
        <v>20</v>
      </c>
      <c r="P6" s="20">
        <f>SUM(D12+L7)</f>
        <v>1939</v>
      </c>
      <c r="Q6" s="7"/>
    </row>
    <row r="7" spans="1:17" x14ac:dyDescent="0.25">
      <c r="A7" s="12" t="s">
        <v>32</v>
      </c>
      <c r="B7" s="21">
        <f>'Basic Cost Length Information'!B3</f>
        <v>100</v>
      </c>
      <c r="C7" s="22">
        <f>'Basic Cost Length Information'!B4</f>
        <v>1.1499999999999999</v>
      </c>
      <c r="D7" s="23">
        <f>C7*B7*$C$2/12</f>
        <v>344.99999999999994</v>
      </c>
      <c r="E7" s="24"/>
      <c r="G7" s="5" t="s">
        <v>15</v>
      </c>
      <c r="H7" s="22">
        <f>'Basic Cost Length Information'!B13</f>
        <v>75</v>
      </c>
      <c r="I7" s="25">
        <f>SUM(H7/60)</f>
        <v>1.25</v>
      </c>
      <c r="J7" s="26">
        <f>'Basic Cost Length Information'!B14</f>
        <v>10</v>
      </c>
      <c r="K7" s="27">
        <f>B7*J7</f>
        <v>1000</v>
      </c>
      <c r="L7" s="25">
        <f>SUM(I7*K7)</f>
        <v>1250</v>
      </c>
      <c r="O7" s="5" t="s">
        <v>22</v>
      </c>
      <c r="P7" s="14"/>
      <c r="Q7" s="7"/>
    </row>
    <row r="8" spans="1:17" x14ac:dyDescent="0.25">
      <c r="A8" s="12" t="s">
        <v>4</v>
      </c>
      <c r="B8" s="13">
        <f>4*B7</f>
        <v>400</v>
      </c>
      <c r="C8" s="22">
        <f>'Basic Cost Length Information'!B5</f>
        <v>0.06</v>
      </c>
      <c r="D8" s="23">
        <f t="shared" ref="D8:D32" si="0">SUM(C8*B8)</f>
        <v>24</v>
      </c>
      <c r="E8" s="24"/>
      <c r="H8" s="28"/>
      <c r="K8" s="29"/>
      <c r="P8" s="14"/>
      <c r="Q8" s="7"/>
    </row>
    <row r="9" spans="1:17" x14ac:dyDescent="0.25">
      <c r="A9" s="12" t="s">
        <v>12</v>
      </c>
      <c r="B9" s="13">
        <f>4*B7</f>
        <v>400</v>
      </c>
      <c r="C9" s="22">
        <f>'Basic Cost Length Information'!B6</f>
        <v>0.35</v>
      </c>
      <c r="D9" s="23">
        <f t="shared" si="0"/>
        <v>140</v>
      </c>
      <c r="E9" s="24"/>
      <c r="H9" s="28"/>
      <c r="K9" s="29"/>
      <c r="P9" s="14"/>
      <c r="Q9" s="7"/>
    </row>
    <row r="10" spans="1:17" x14ac:dyDescent="0.25">
      <c r="A10" s="12" t="s">
        <v>5</v>
      </c>
      <c r="B10" s="13">
        <f>B7*2</f>
        <v>200</v>
      </c>
      <c r="C10" s="22">
        <f>'Basic Cost Length Information'!B7</f>
        <v>0.03</v>
      </c>
      <c r="D10" s="23">
        <f t="shared" si="0"/>
        <v>6</v>
      </c>
      <c r="K10" s="29"/>
      <c r="P10" s="14"/>
      <c r="Q10" s="7"/>
    </row>
    <row r="11" spans="1:17" x14ac:dyDescent="0.25">
      <c r="A11" s="12" t="s">
        <v>8</v>
      </c>
      <c r="B11" s="13">
        <f>2*B7</f>
        <v>200</v>
      </c>
      <c r="C11" s="22">
        <f>'Basic Cost Length Information'!B8</f>
        <v>0.87</v>
      </c>
      <c r="D11" s="23">
        <f t="shared" si="0"/>
        <v>174</v>
      </c>
      <c r="K11" s="29"/>
      <c r="P11" s="14"/>
      <c r="Q11" s="7"/>
    </row>
    <row r="12" spans="1:17" ht="15.75" thickBot="1" x14ac:dyDescent="0.3">
      <c r="A12" s="30" t="s">
        <v>11</v>
      </c>
      <c r="B12" s="31"/>
      <c r="C12" s="32"/>
      <c r="D12" s="32">
        <f>SUM(D7:D11)</f>
        <v>689</v>
      </c>
      <c r="E12" s="33"/>
      <c r="F12" s="33"/>
      <c r="G12" s="33"/>
      <c r="H12" s="33"/>
      <c r="I12" s="33"/>
      <c r="J12" s="34"/>
      <c r="K12" s="35"/>
      <c r="L12" s="33"/>
      <c r="M12" s="33"/>
      <c r="N12" s="33"/>
      <c r="O12" s="33"/>
      <c r="P12" s="36"/>
      <c r="Q12" s="7"/>
    </row>
    <row r="13" spans="1:17" ht="21" x14ac:dyDescent="0.35">
      <c r="A13" s="90" t="str">
        <f>B7&amp;" pieces of "&amp;C14&amp;" Inch, 4D22 - Flip Clip Trapeze Assembly"</f>
        <v>100 pieces of 36 Inch, 4D22 - Flip Clip Trapeze Assembly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7"/>
    </row>
    <row r="14" spans="1:17" x14ac:dyDescent="0.25">
      <c r="A14" s="83" t="s">
        <v>23</v>
      </c>
      <c r="B14" s="84"/>
      <c r="C14" s="11">
        <f>C2</f>
        <v>36</v>
      </c>
      <c r="F14" s="6"/>
      <c r="G14" s="7"/>
      <c r="O14" s="6"/>
      <c r="P14" s="9"/>
      <c r="Q14" s="7"/>
    </row>
    <row r="15" spans="1:17" ht="30" customHeight="1" x14ac:dyDescent="0.25">
      <c r="A15" s="85" t="s">
        <v>33</v>
      </c>
      <c r="B15" s="86"/>
      <c r="C15" s="11">
        <f>LOOKUP(C2,Sheet2!B43:B61,Sheet2!D43:D61)</f>
        <v>1249</v>
      </c>
      <c r="F15" s="6"/>
      <c r="G15" s="7"/>
      <c r="O15" s="6"/>
      <c r="P15" s="9"/>
      <c r="Q15" s="7"/>
    </row>
    <row r="16" spans="1:17" x14ac:dyDescent="0.25">
      <c r="A16" s="83" t="s">
        <v>14</v>
      </c>
      <c r="B16" s="87"/>
      <c r="C16" s="88"/>
      <c r="D16" s="89"/>
      <c r="E16" s="11"/>
      <c r="F16" s="80" t="s">
        <v>13</v>
      </c>
      <c r="G16" s="87"/>
      <c r="H16" s="88"/>
      <c r="I16" s="88"/>
      <c r="J16" s="88"/>
      <c r="K16" s="88"/>
      <c r="L16" s="89"/>
      <c r="M16" s="11"/>
      <c r="N16" s="80" t="s">
        <v>20</v>
      </c>
      <c r="O16" s="81"/>
      <c r="P16" s="82"/>
      <c r="Q16" s="7"/>
    </row>
    <row r="17" spans="1:17" x14ac:dyDescent="0.25">
      <c r="A17" s="12"/>
      <c r="B17" s="13" t="s">
        <v>1</v>
      </c>
      <c r="C17" s="13" t="s">
        <v>2</v>
      </c>
      <c r="D17" s="13" t="s">
        <v>3</v>
      </c>
      <c r="P17" s="14"/>
      <c r="Q17" s="7"/>
    </row>
    <row r="18" spans="1:17" ht="45" x14ac:dyDescent="0.25">
      <c r="A18" s="37" t="s">
        <v>6</v>
      </c>
      <c r="B18" s="13"/>
      <c r="F18" s="38" t="s">
        <v>6</v>
      </c>
      <c r="H18" s="5" t="s">
        <v>16</v>
      </c>
      <c r="I18" s="5" t="s">
        <v>17</v>
      </c>
      <c r="J18" s="17" t="s">
        <v>35</v>
      </c>
      <c r="K18" s="39" t="s">
        <v>19</v>
      </c>
      <c r="L18" s="19" t="s">
        <v>18</v>
      </c>
      <c r="N18" s="38" t="s">
        <v>6</v>
      </c>
      <c r="O18" s="11" t="s">
        <v>20</v>
      </c>
      <c r="P18" s="20">
        <f>SUM(D23+L19)</f>
        <v>1461</v>
      </c>
      <c r="Q18" s="7"/>
    </row>
    <row r="19" spans="1:17" x14ac:dyDescent="0.25">
      <c r="A19" s="12" t="s">
        <v>32</v>
      </c>
      <c r="B19" s="66">
        <f>B7</f>
        <v>100</v>
      </c>
      <c r="C19" s="22">
        <f>'Basic Cost Length Information'!B10</f>
        <v>1.3</v>
      </c>
      <c r="D19" s="23">
        <f>C19*B19*($C$2-6)/12</f>
        <v>325</v>
      </c>
      <c r="G19" s="5" t="s">
        <v>15</v>
      </c>
      <c r="H19" s="40">
        <f>H7</f>
        <v>75</v>
      </c>
      <c r="I19" s="25">
        <f>SUM(H19/60)</f>
        <v>1.25</v>
      </c>
      <c r="J19" s="26">
        <f>'Basic Cost Length Information'!B15</f>
        <v>6</v>
      </c>
      <c r="K19" s="27">
        <f>B19*J19</f>
        <v>600</v>
      </c>
      <c r="L19" s="25">
        <f>SUM(I19*K19)</f>
        <v>750</v>
      </c>
      <c r="O19" s="10" t="s">
        <v>21</v>
      </c>
      <c r="P19" s="41">
        <f>SUM((P6-P18)/P6)</f>
        <v>0.24651882413615264</v>
      </c>
      <c r="Q19" s="7"/>
    </row>
    <row r="20" spans="1:17" x14ac:dyDescent="0.25">
      <c r="A20" s="12" t="s">
        <v>4</v>
      </c>
      <c r="B20" s="27">
        <f>$B$19*2</f>
        <v>200</v>
      </c>
      <c r="C20" s="22">
        <f>'Basic Cost Length Information'!B5</f>
        <v>0.06</v>
      </c>
      <c r="D20" s="23">
        <f t="shared" si="0"/>
        <v>12</v>
      </c>
      <c r="K20" s="29"/>
      <c r="P20" s="14"/>
      <c r="Q20" s="7"/>
    </row>
    <row r="21" spans="1:17" x14ac:dyDescent="0.25">
      <c r="A21" s="12" t="s">
        <v>7</v>
      </c>
      <c r="B21" s="27">
        <f t="shared" ref="B21:B22" si="1">$B$19*2</f>
        <v>200</v>
      </c>
      <c r="C21" s="22">
        <f>'Basic Cost Length Information'!B11</f>
        <v>1</v>
      </c>
      <c r="D21" s="23">
        <f t="shared" si="0"/>
        <v>200</v>
      </c>
      <c r="K21" s="29"/>
      <c r="P21" s="14"/>
      <c r="Q21" s="7"/>
    </row>
    <row r="22" spans="1:17" x14ac:dyDescent="0.25">
      <c r="A22" s="12" t="s">
        <v>8</v>
      </c>
      <c r="B22" s="27">
        <f t="shared" si="1"/>
        <v>200</v>
      </c>
      <c r="C22" s="22">
        <f>'Basic Cost Length Information'!B8</f>
        <v>0.87</v>
      </c>
      <c r="D22" s="23">
        <f t="shared" si="0"/>
        <v>174</v>
      </c>
      <c r="K22" s="29"/>
      <c r="P22" s="14"/>
      <c r="Q22" s="7"/>
    </row>
    <row r="23" spans="1:17" ht="15.75" thickBot="1" x14ac:dyDescent="0.3">
      <c r="A23" s="30" t="s">
        <v>11</v>
      </c>
      <c r="B23" s="42"/>
      <c r="C23" s="32"/>
      <c r="D23" s="32">
        <f>SUM(D19:D22)</f>
        <v>711</v>
      </c>
      <c r="E23" s="33"/>
      <c r="F23" s="33"/>
      <c r="G23" s="33"/>
      <c r="H23" s="33"/>
      <c r="I23" s="33"/>
      <c r="J23" s="34"/>
      <c r="K23" s="35"/>
      <c r="L23" s="33"/>
      <c r="M23" s="33"/>
      <c r="N23" s="33"/>
      <c r="O23" s="33"/>
      <c r="P23" s="36"/>
      <c r="Q23" s="7"/>
    </row>
    <row r="24" spans="1:17" ht="21" x14ac:dyDescent="0.35">
      <c r="A24" s="90" t="str">
        <f>B7&amp;" pieces of "&amp;C25&amp;" Inch, 4D22 - Turn Lock Trapeze Assembly"</f>
        <v>100 pieces of 36 Inch, 4D22 - Turn Lock Trapeze Assembly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7"/>
    </row>
    <row r="25" spans="1:17" x14ac:dyDescent="0.25">
      <c r="A25" s="83" t="s">
        <v>23</v>
      </c>
      <c r="B25" s="84"/>
      <c r="C25" s="11">
        <f>C2</f>
        <v>36</v>
      </c>
      <c r="F25" s="6"/>
      <c r="G25" s="7"/>
      <c r="O25" s="6"/>
      <c r="P25" s="9"/>
      <c r="Q25" s="7"/>
    </row>
    <row r="26" spans="1:17" ht="30" customHeight="1" x14ac:dyDescent="0.25">
      <c r="A26" s="85" t="s">
        <v>33</v>
      </c>
      <c r="B26" s="86"/>
      <c r="C26" s="11">
        <f>LOOKUP(C2,Sheet2!B43:B61,Sheet2!D43:D61)</f>
        <v>1249</v>
      </c>
      <c r="F26" s="6"/>
      <c r="G26" s="7"/>
      <c r="O26" s="6"/>
      <c r="P26" s="9"/>
      <c r="Q26" s="7"/>
    </row>
    <row r="27" spans="1:17" x14ac:dyDescent="0.25">
      <c r="A27" s="83" t="s">
        <v>14</v>
      </c>
      <c r="B27" s="87"/>
      <c r="C27" s="88"/>
      <c r="D27" s="89"/>
      <c r="E27" s="11"/>
      <c r="F27" s="80" t="s">
        <v>13</v>
      </c>
      <c r="G27" s="87"/>
      <c r="H27" s="88"/>
      <c r="I27" s="88"/>
      <c r="J27" s="88"/>
      <c r="K27" s="88"/>
      <c r="L27" s="89"/>
      <c r="M27" s="11"/>
      <c r="N27" s="80" t="s">
        <v>20</v>
      </c>
      <c r="O27" s="81"/>
      <c r="P27" s="82"/>
      <c r="Q27" s="7"/>
    </row>
    <row r="28" spans="1:17" x14ac:dyDescent="0.25">
      <c r="A28" s="12"/>
      <c r="B28" s="13" t="s">
        <v>1</v>
      </c>
      <c r="C28" s="13" t="s">
        <v>2</v>
      </c>
      <c r="D28" s="13" t="s">
        <v>3</v>
      </c>
      <c r="P28" s="14"/>
      <c r="Q28" s="7"/>
    </row>
    <row r="29" spans="1:17" ht="45" x14ac:dyDescent="0.25">
      <c r="A29" s="37" t="s">
        <v>9</v>
      </c>
      <c r="B29" s="27"/>
      <c r="F29" s="38" t="s">
        <v>9</v>
      </c>
      <c r="H29" s="5" t="s">
        <v>16</v>
      </c>
      <c r="I29" s="5" t="s">
        <v>17</v>
      </c>
      <c r="J29" s="17" t="s">
        <v>35</v>
      </c>
      <c r="K29" s="39" t="s">
        <v>19</v>
      </c>
      <c r="L29" s="19" t="s">
        <v>18</v>
      </c>
      <c r="N29" s="38" t="s">
        <v>9</v>
      </c>
      <c r="O29" s="11" t="s">
        <v>20</v>
      </c>
      <c r="P29" s="20">
        <f>SUM(D33+L30)</f>
        <v>1484</v>
      </c>
      <c r="Q29" s="7"/>
    </row>
    <row r="30" spans="1:17" x14ac:dyDescent="0.25">
      <c r="A30" s="12" t="s">
        <v>32</v>
      </c>
      <c r="B30" s="21">
        <f>B7</f>
        <v>100</v>
      </c>
      <c r="C30" s="22">
        <f>'Basic Cost Length Information'!B10</f>
        <v>1.3</v>
      </c>
      <c r="D30" s="23">
        <f>C30*B30*$C$2/12</f>
        <v>390</v>
      </c>
      <c r="G30" s="5" t="s">
        <v>15</v>
      </c>
      <c r="H30" s="40">
        <f>H7</f>
        <v>75</v>
      </c>
      <c r="I30" s="25">
        <f>SUM(H30/60)</f>
        <v>1.25</v>
      </c>
      <c r="J30" s="26">
        <f>'Basic Cost Length Information'!B16</f>
        <v>4</v>
      </c>
      <c r="K30" s="27">
        <f>B30*J30</f>
        <v>400</v>
      </c>
      <c r="L30" s="25">
        <f>SUM(I30*K30)</f>
        <v>500</v>
      </c>
      <c r="O30" s="10" t="s">
        <v>21</v>
      </c>
      <c r="P30" s="41">
        <f>SUM((P6-P29)/P6)</f>
        <v>0.23465703971119134</v>
      </c>
      <c r="Q30" s="7"/>
    </row>
    <row r="31" spans="1:17" x14ac:dyDescent="0.25">
      <c r="A31" s="12" t="s">
        <v>10</v>
      </c>
      <c r="B31" s="13">
        <f>$B$30*2</f>
        <v>200</v>
      </c>
      <c r="C31" s="22">
        <f>'Basic Cost Length Information'!B12</f>
        <v>2.1</v>
      </c>
      <c r="D31" s="23">
        <f t="shared" si="0"/>
        <v>420</v>
      </c>
      <c r="P31" s="14"/>
      <c r="Q31" s="7"/>
    </row>
    <row r="32" spans="1:17" x14ac:dyDescent="0.25">
      <c r="A32" s="12" t="s">
        <v>8</v>
      </c>
      <c r="B32" s="13">
        <f>$B$30*2</f>
        <v>200</v>
      </c>
      <c r="C32" s="22">
        <f>'Basic Cost Length Information'!B8</f>
        <v>0.87</v>
      </c>
      <c r="D32" s="23">
        <f t="shared" si="0"/>
        <v>174</v>
      </c>
      <c r="P32" s="14"/>
      <c r="Q32" s="7"/>
    </row>
    <row r="33" spans="1:17" x14ac:dyDescent="0.25">
      <c r="A33" s="12" t="s">
        <v>11</v>
      </c>
      <c r="D33" s="25">
        <f>SUM(D30:D32)</f>
        <v>984</v>
      </c>
      <c r="P33" s="14"/>
      <c r="Q33" s="7"/>
    </row>
    <row r="34" spans="1:17" ht="15.75" thickBot="1" x14ac:dyDescent="0.3">
      <c r="A34" s="30"/>
      <c r="B34" s="33"/>
      <c r="C34" s="33"/>
      <c r="D34" s="33"/>
      <c r="E34" s="33"/>
      <c r="F34" s="33"/>
      <c r="G34" s="33"/>
      <c r="H34" s="33"/>
      <c r="I34" s="33"/>
      <c r="J34" s="34"/>
      <c r="K34" s="33"/>
      <c r="L34" s="33"/>
      <c r="M34" s="33"/>
      <c r="N34" s="33"/>
      <c r="O34" s="33"/>
      <c r="P34" s="36"/>
      <c r="Q34" s="7"/>
    </row>
  </sheetData>
  <sheetProtection algorithmName="SHA-512" hashValue="U65OuXyrP/tUDhHo4y5IrXQO39rDnerg96kt6AGLNPaqSiANg9vNTPcuNzQhae80zQPETInCPMdA1WXPqriuIQ==" saltValue="Qm+OQtWjyActYSRn0xs0+Q==" spinCount="100000" sheet="1" objects="1" scenarios="1"/>
  <mergeCells count="18">
    <mergeCell ref="A1:P1"/>
    <mergeCell ref="A2:B2"/>
    <mergeCell ref="A3:B3"/>
    <mergeCell ref="A4:D4"/>
    <mergeCell ref="F4:L4"/>
    <mergeCell ref="N4:P4"/>
    <mergeCell ref="A13:P13"/>
    <mergeCell ref="A14:B14"/>
    <mergeCell ref="A15:B15"/>
    <mergeCell ref="A16:D16"/>
    <mergeCell ref="F16:L16"/>
    <mergeCell ref="N16:P16"/>
    <mergeCell ref="A24:P24"/>
    <mergeCell ref="A25:B25"/>
    <mergeCell ref="A26:B26"/>
    <mergeCell ref="A27:D27"/>
    <mergeCell ref="F27:L27"/>
    <mergeCell ref="N27:P27"/>
  </mergeCells>
  <pageMargins left="0.7" right="0.7" top="0.75" bottom="0.75" header="0.3" footer="0.3"/>
  <pageSetup scale="74" orientation="landscape" r:id="rId1"/>
  <headerFooter>
    <oddHeader>&amp;C&amp;"-,Bold Italic"&amp;18B-Line Cost Savings Calculator: 1-5/8" X 1-5/8" Strut vs. 4D22 Series Strut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34"/>
  <sheetViews>
    <sheetView workbookViewId="0">
      <selection sqref="A1:P1"/>
    </sheetView>
  </sheetViews>
  <sheetFormatPr defaultColWidth="8.7109375" defaultRowHeight="15" x14ac:dyDescent="0.25"/>
  <cols>
    <col min="1" max="1" width="18.28515625" style="5" bestFit="1" customWidth="1"/>
    <col min="2" max="2" width="5" style="5" bestFit="1" customWidth="1"/>
    <col min="3" max="3" width="8.7109375" style="5"/>
    <col min="4" max="4" width="10.42578125" style="5" bestFit="1" customWidth="1"/>
    <col min="5" max="5" width="2" style="5" customWidth="1"/>
    <col min="6" max="6" width="9.28515625" style="5" bestFit="1" customWidth="1"/>
    <col min="7" max="7" width="16.42578125" style="5" customWidth="1"/>
    <col min="8" max="8" width="8.7109375" style="5"/>
    <col min="9" max="9" width="10.7109375" style="5" bestFit="1" customWidth="1"/>
    <col min="10" max="10" width="10.7109375" style="8" customWidth="1"/>
    <col min="11" max="11" width="9.7109375" style="5" bestFit="1" customWidth="1"/>
    <col min="12" max="12" width="10.7109375" style="5" bestFit="1" customWidth="1"/>
    <col min="13" max="13" width="2.42578125" style="5" customWidth="1"/>
    <col min="14" max="14" width="9.28515625" style="5" bestFit="1" customWidth="1"/>
    <col min="15" max="15" width="18.42578125" style="5" bestFit="1" customWidth="1"/>
    <col min="16" max="16" width="12.7109375" style="5" customWidth="1"/>
    <col min="17" max="16384" width="8.7109375" style="5"/>
  </cols>
  <sheetData>
    <row r="1" spans="1:17" ht="21" x14ac:dyDescent="0.35">
      <c r="A1" s="90" t="str">
        <f>B7&amp;" pieces of "&amp;C2&amp;" Inch, 1-5/8 X 1-5/8 Strut Trapeze Assembly"</f>
        <v>100 pieces of 36 Inch, 1-5/8 X 1-5/8 Strut Trapeze Assembly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7"/>
    </row>
    <row r="2" spans="1:17" x14ac:dyDescent="0.25">
      <c r="A2" s="83" t="s">
        <v>23</v>
      </c>
      <c r="B2" s="84"/>
      <c r="C2" s="4">
        <f>'Basic Cost Length Information'!B2</f>
        <v>36</v>
      </c>
      <c r="F2" s="6"/>
      <c r="G2" s="7"/>
      <c r="O2" s="6"/>
      <c r="P2" s="9"/>
      <c r="Q2" s="7"/>
    </row>
    <row r="3" spans="1:17" ht="30" customHeight="1" x14ac:dyDescent="0.25">
      <c r="A3" s="85" t="s">
        <v>33</v>
      </c>
      <c r="B3" s="86"/>
      <c r="C3" s="11">
        <f>LOOKUP(C2,Sheet2!B65:B83,Sheet2!D65:D83)</f>
        <v>1135</v>
      </c>
      <c r="F3" s="6"/>
      <c r="G3" s="7"/>
      <c r="O3" s="6"/>
      <c r="P3" s="9"/>
      <c r="Q3" s="7"/>
    </row>
    <row r="4" spans="1:17" x14ac:dyDescent="0.25">
      <c r="A4" s="83" t="s">
        <v>14</v>
      </c>
      <c r="B4" s="87"/>
      <c r="C4" s="88"/>
      <c r="D4" s="89"/>
      <c r="E4" s="11"/>
      <c r="F4" s="80" t="s">
        <v>13</v>
      </c>
      <c r="G4" s="87"/>
      <c r="H4" s="88"/>
      <c r="I4" s="88"/>
      <c r="J4" s="88"/>
      <c r="K4" s="88"/>
      <c r="L4" s="89"/>
      <c r="M4" s="11"/>
      <c r="N4" s="80" t="s">
        <v>20</v>
      </c>
      <c r="O4" s="81"/>
      <c r="P4" s="82"/>
      <c r="Q4" s="7"/>
    </row>
    <row r="5" spans="1:17" x14ac:dyDescent="0.25">
      <c r="A5" s="12"/>
      <c r="B5" s="13" t="s">
        <v>1</v>
      </c>
      <c r="C5" s="13" t="s">
        <v>2</v>
      </c>
      <c r="D5" s="13" t="s">
        <v>3</v>
      </c>
      <c r="P5" s="14"/>
      <c r="Q5" s="7"/>
    </row>
    <row r="6" spans="1:17" ht="45" x14ac:dyDescent="0.25">
      <c r="A6" s="15" t="s">
        <v>37</v>
      </c>
      <c r="F6" s="16" t="s">
        <v>0</v>
      </c>
      <c r="H6" s="5" t="s">
        <v>16</v>
      </c>
      <c r="I6" s="5" t="s">
        <v>17</v>
      </c>
      <c r="J6" s="17" t="s">
        <v>35</v>
      </c>
      <c r="K6" s="18" t="s">
        <v>34</v>
      </c>
      <c r="L6" s="19" t="s">
        <v>18</v>
      </c>
      <c r="N6" s="16" t="s">
        <v>0</v>
      </c>
      <c r="O6" s="11" t="s">
        <v>20</v>
      </c>
      <c r="P6" s="20">
        <f>SUM(D12+L7)</f>
        <v>1939</v>
      </c>
      <c r="Q6" s="7"/>
    </row>
    <row r="7" spans="1:17" x14ac:dyDescent="0.25">
      <c r="A7" s="12" t="s">
        <v>32</v>
      </c>
      <c r="B7" s="21">
        <f>'Basic Cost Length Information'!B3</f>
        <v>100</v>
      </c>
      <c r="C7" s="22">
        <f>'Basic Cost Length Information'!B4</f>
        <v>1.1499999999999999</v>
      </c>
      <c r="D7" s="23">
        <f>C7*B7*$C$2/12</f>
        <v>344.99999999999994</v>
      </c>
      <c r="E7" s="24"/>
      <c r="G7" s="5" t="s">
        <v>15</v>
      </c>
      <c r="H7" s="22">
        <f>'Basic Cost Length Information'!B13</f>
        <v>75</v>
      </c>
      <c r="I7" s="25">
        <f>SUM(H7/60)</f>
        <v>1.25</v>
      </c>
      <c r="J7" s="26">
        <f>'Basic Cost Length Information'!B14</f>
        <v>10</v>
      </c>
      <c r="K7" s="27">
        <f>B7*J7</f>
        <v>1000</v>
      </c>
      <c r="L7" s="25">
        <f>SUM(I7*K7)</f>
        <v>1250</v>
      </c>
      <c r="O7" s="5" t="s">
        <v>22</v>
      </c>
      <c r="P7" s="14"/>
      <c r="Q7" s="7"/>
    </row>
    <row r="8" spans="1:17" x14ac:dyDescent="0.25">
      <c r="A8" s="12" t="s">
        <v>4</v>
      </c>
      <c r="B8" s="13">
        <f>4*B7</f>
        <v>400</v>
      </c>
      <c r="C8" s="22">
        <f>'Basic Cost Length Information'!B5</f>
        <v>0.06</v>
      </c>
      <c r="D8" s="23">
        <f t="shared" ref="D8:D32" si="0">SUM(C8*B8)</f>
        <v>24</v>
      </c>
      <c r="E8" s="24"/>
      <c r="H8" s="28"/>
      <c r="K8" s="29"/>
      <c r="P8" s="14"/>
      <c r="Q8" s="7"/>
    </row>
    <row r="9" spans="1:17" x14ac:dyDescent="0.25">
      <c r="A9" s="12" t="s">
        <v>12</v>
      </c>
      <c r="B9" s="13">
        <f>4*B7</f>
        <v>400</v>
      </c>
      <c r="C9" s="22">
        <f>'Basic Cost Length Information'!B6</f>
        <v>0.35</v>
      </c>
      <c r="D9" s="23">
        <f t="shared" si="0"/>
        <v>140</v>
      </c>
      <c r="E9" s="24"/>
      <c r="H9" s="28"/>
      <c r="K9" s="29"/>
      <c r="P9" s="14"/>
      <c r="Q9" s="7"/>
    </row>
    <row r="10" spans="1:17" x14ac:dyDescent="0.25">
      <c r="A10" s="12" t="s">
        <v>5</v>
      </c>
      <c r="B10" s="13">
        <f>B7*2</f>
        <v>200</v>
      </c>
      <c r="C10" s="22">
        <f>'Basic Cost Length Information'!B7</f>
        <v>0.03</v>
      </c>
      <c r="D10" s="23">
        <f t="shared" si="0"/>
        <v>6</v>
      </c>
      <c r="K10" s="29"/>
      <c r="P10" s="14"/>
      <c r="Q10" s="7"/>
    </row>
    <row r="11" spans="1:17" x14ac:dyDescent="0.25">
      <c r="A11" s="12" t="s">
        <v>8</v>
      </c>
      <c r="B11" s="13">
        <f>2*B7</f>
        <v>200</v>
      </c>
      <c r="C11" s="22">
        <f>'Basic Cost Length Information'!B8</f>
        <v>0.87</v>
      </c>
      <c r="D11" s="23">
        <f t="shared" si="0"/>
        <v>174</v>
      </c>
      <c r="K11" s="29"/>
      <c r="P11" s="14"/>
      <c r="Q11" s="7"/>
    </row>
    <row r="12" spans="1:17" ht="15.75" thickBot="1" x14ac:dyDescent="0.3">
      <c r="A12" s="30" t="s">
        <v>11</v>
      </c>
      <c r="B12" s="31"/>
      <c r="C12" s="32"/>
      <c r="D12" s="32">
        <f>SUM(D7:D11)</f>
        <v>689</v>
      </c>
      <c r="E12" s="33"/>
      <c r="F12" s="33"/>
      <c r="G12" s="33"/>
      <c r="H12" s="33"/>
      <c r="I12" s="33"/>
      <c r="J12" s="34"/>
      <c r="K12" s="35"/>
      <c r="L12" s="33"/>
      <c r="M12" s="33"/>
      <c r="N12" s="33"/>
      <c r="O12" s="33"/>
      <c r="P12" s="36"/>
      <c r="Q12" s="7"/>
    </row>
    <row r="13" spans="1:17" ht="21" x14ac:dyDescent="0.35">
      <c r="A13" s="90" t="str">
        <f>B7&amp;" pieces of "&amp;C14&amp;" Inch, 4D22 - Flip Clip Trapeze Assembly"</f>
        <v>100 pieces of 18 Inch, 4D22 - Flip Clip Trapeze Assembly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7"/>
    </row>
    <row r="14" spans="1:17" x14ac:dyDescent="0.25">
      <c r="A14" s="83" t="s">
        <v>23</v>
      </c>
      <c r="B14" s="84"/>
      <c r="C14" s="11">
        <f>C2/2</f>
        <v>18</v>
      </c>
      <c r="F14" s="6"/>
      <c r="G14" s="7"/>
      <c r="O14" s="6"/>
      <c r="P14" s="9"/>
      <c r="Q14" s="7"/>
    </row>
    <row r="15" spans="1:17" ht="30" customHeight="1" x14ac:dyDescent="0.25">
      <c r="A15" s="85" t="s">
        <v>33</v>
      </c>
      <c r="B15" s="86"/>
      <c r="C15" s="11">
        <f>LOOKUP(C2*0.5,Sheet2!B43:B61,Sheet2!D43:D61)</f>
        <v>1872</v>
      </c>
      <c r="F15" s="6"/>
      <c r="G15" s="7"/>
      <c r="O15" s="6"/>
      <c r="P15" s="9"/>
      <c r="Q15" s="7"/>
    </row>
    <row r="16" spans="1:17" x14ac:dyDescent="0.25">
      <c r="A16" s="83" t="s">
        <v>14</v>
      </c>
      <c r="B16" s="87"/>
      <c r="C16" s="88"/>
      <c r="D16" s="89"/>
      <c r="E16" s="11"/>
      <c r="F16" s="80" t="s">
        <v>13</v>
      </c>
      <c r="G16" s="87"/>
      <c r="H16" s="88"/>
      <c r="I16" s="88"/>
      <c r="J16" s="88"/>
      <c r="K16" s="88"/>
      <c r="L16" s="89"/>
      <c r="M16" s="11"/>
      <c r="N16" s="80" t="s">
        <v>20</v>
      </c>
      <c r="O16" s="81"/>
      <c r="P16" s="82"/>
      <c r="Q16" s="7"/>
    </row>
    <row r="17" spans="1:17" x14ac:dyDescent="0.25">
      <c r="A17" s="12"/>
      <c r="B17" s="13" t="s">
        <v>1</v>
      </c>
      <c r="C17" s="13" t="s">
        <v>2</v>
      </c>
      <c r="D17" s="13" t="s">
        <v>3</v>
      </c>
      <c r="P17" s="14"/>
      <c r="Q17" s="7"/>
    </row>
    <row r="18" spans="1:17" ht="45" x14ac:dyDescent="0.25">
      <c r="A18" s="37" t="s">
        <v>6</v>
      </c>
      <c r="B18" s="13"/>
      <c r="F18" s="38" t="s">
        <v>6</v>
      </c>
      <c r="H18" s="5" t="s">
        <v>16</v>
      </c>
      <c r="I18" s="5" t="s">
        <v>17</v>
      </c>
      <c r="J18" s="17" t="s">
        <v>35</v>
      </c>
      <c r="K18" s="39" t="s">
        <v>19</v>
      </c>
      <c r="L18" s="19" t="s">
        <v>18</v>
      </c>
      <c r="N18" s="38" t="s">
        <v>6</v>
      </c>
      <c r="O18" s="11" t="s">
        <v>20</v>
      </c>
      <c r="P18" s="20">
        <f>SUM(D23+L19)</f>
        <v>1287.6666666666665</v>
      </c>
      <c r="Q18" s="7"/>
    </row>
    <row r="19" spans="1:17" x14ac:dyDescent="0.25">
      <c r="A19" s="12" t="s">
        <v>32</v>
      </c>
      <c r="B19" s="21">
        <f>B7</f>
        <v>100</v>
      </c>
      <c r="C19" s="22">
        <f>'Basic Cost Length Information'!B10</f>
        <v>1.3</v>
      </c>
      <c r="D19" s="23">
        <f>C19*B19*($C$14-4)/12</f>
        <v>151.66666666666666</v>
      </c>
      <c r="G19" s="5" t="s">
        <v>15</v>
      </c>
      <c r="H19" s="40">
        <f>H7</f>
        <v>75</v>
      </c>
      <c r="I19" s="25">
        <f>SUM(H19/60)</f>
        <v>1.25</v>
      </c>
      <c r="J19" s="26">
        <f>'Basic Cost Length Information'!B15</f>
        <v>6</v>
      </c>
      <c r="K19" s="27">
        <f>B19*J19</f>
        <v>600</v>
      </c>
      <c r="L19" s="25">
        <f>SUM(I19*K19)</f>
        <v>750</v>
      </c>
      <c r="O19" s="10" t="s">
        <v>21</v>
      </c>
      <c r="P19" s="41">
        <f>SUM((P6-P18)/P6)</f>
        <v>0.33591198212136847</v>
      </c>
      <c r="Q19" s="7"/>
    </row>
    <row r="20" spans="1:17" x14ac:dyDescent="0.25">
      <c r="A20" s="12" t="s">
        <v>4</v>
      </c>
      <c r="B20" s="27">
        <f>$B$19*2</f>
        <v>200</v>
      </c>
      <c r="C20" s="22">
        <f>'Basic Cost Length Information'!B5</f>
        <v>0.06</v>
      </c>
      <c r="D20" s="23">
        <f t="shared" si="0"/>
        <v>12</v>
      </c>
      <c r="K20" s="29"/>
      <c r="P20" s="14"/>
      <c r="Q20" s="7"/>
    </row>
    <row r="21" spans="1:17" x14ac:dyDescent="0.25">
      <c r="A21" s="12" t="s">
        <v>7</v>
      </c>
      <c r="B21" s="27">
        <f t="shared" ref="B21:B22" si="1">$B$19*2</f>
        <v>200</v>
      </c>
      <c r="C21" s="22">
        <f>'Basic Cost Length Information'!B11</f>
        <v>1</v>
      </c>
      <c r="D21" s="23">
        <f t="shared" si="0"/>
        <v>200</v>
      </c>
      <c r="K21" s="29"/>
      <c r="P21" s="14"/>
      <c r="Q21" s="7"/>
    </row>
    <row r="22" spans="1:17" x14ac:dyDescent="0.25">
      <c r="A22" s="12" t="s">
        <v>8</v>
      </c>
      <c r="B22" s="27">
        <f t="shared" si="1"/>
        <v>200</v>
      </c>
      <c r="C22" s="22">
        <f>'Basic Cost Length Information'!B8</f>
        <v>0.87</v>
      </c>
      <c r="D22" s="23">
        <f t="shared" si="0"/>
        <v>174</v>
      </c>
      <c r="K22" s="29"/>
      <c r="P22" s="14"/>
      <c r="Q22" s="7"/>
    </row>
    <row r="23" spans="1:17" ht="15.75" thickBot="1" x14ac:dyDescent="0.3">
      <c r="A23" s="30" t="s">
        <v>11</v>
      </c>
      <c r="B23" s="42"/>
      <c r="C23" s="32"/>
      <c r="D23" s="32">
        <f>SUM(D19:D22)</f>
        <v>537.66666666666663</v>
      </c>
      <c r="E23" s="33"/>
      <c r="F23" s="33"/>
      <c r="G23" s="33"/>
      <c r="H23" s="33"/>
      <c r="I23" s="33"/>
      <c r="J23" s="34"/>
      <c r="K23" s="35"/>
      <c r="L23" s="33"/>
      <c r="M23" s="33"/>
      <c r="N23" s="33"/>
      <c r="O23" s="33"/>
      <c r="P23" s="36"/>
      <c r="Q23" s="7"/>
    </row>
    <row r="24" spans="1:17" ht="21" x14ac:dyDescent="0.35">
      <c r="A24" s="90" t="str">
        <f>B7&amp;" pieces of "&amp;C25&amp;" Inch, 4D22 - Turn Lock Trapeze Assembly"</f>
        <v>100 pieces of 18 Inch, 4D22 - Turn Lock Trapeze Assembly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7"/>
    </row>
    <row r="25" spans="1:17" x14ac:dyDescent="0.25">
      <c r="A25" s="83" t="s">
        <v>23</v>
      </c>
      <c r="B25" s="84"/>
      <c r="C25" s="11">
        <f>C2*0.5</f>
        <v>18</v>
      </c>
      <c r="F25" s="6"/>
      <c r="G25" s="7"/>
      <c r="O25" s="6"/>
      <c r="P25" s="9"/>
      <c r="Q25" s="7"/>
    </row>
    <row r="26" spans="1:17" ht="30" customHeight="1" x14ac:dyDescent="0.25">
      <c r="A26" s="85" t="s">
        <v>33</v>
      </c>
      <c r="B26" s="86"/>
      <c r="C26" s="11">
        <f>LOOKUP(C2*0.5,Sheet2!B43:B61,Sheet2!D43:D61)</f>
        <v>1872</v>
      </c>
      <c r="F26" s="6"/>
      <c r="G26" s="7"/>
      <c r="O26" s="6"/>
      <c r="P26" s="9"/>
      <c r="Q26" s="7"/>
    </row>
    <row r="27" spans="1:17" x14ac:dyDescent="0.25">
      <c r="A27" s="83" t="s">
        <v>14</v>
      </c>
      <c r="B27" s="87"/>
      <c r="C27" s="88"/>
      <c r="D27" s="89"/>
      <c r="E27" s="11"/>
      <c r="F27" s="80" t="s">
        <v>13</v>
      </c>
      <c r="G27" s="87"/>
      <c r="H27" s="88"/>
      <c r="I27" s="88"/>
      <c r="J27" s="88"/>
      <c r="K27" s="88"/>
      <c r="L27" s="89"/>
      <c r="M27" s="11"/>
      <c r="N27" s="80" t="s">
        <v>20</v>
      </c>
      <c r="O27" s="81"/>
      <c r="P27" s="82"/>
      <c r="Q27" s="7"/>
    </row>
    <row r="28" spans="1:17" x14ac:dyDescent="0.25">
      <c r="A28" s="12"/>
      <c r="B28" s="13" t="s">
        <v>1</v>
      </c>
      <c r="C28" s="13" t="s">
        <v>2</v>
      </c>
      <c r="D28" s="13" t="s">
        <v>3</v>
      </c>
      <c r="P28" s="14"/>
      <c r="Q28" s="7"/>
    </row>
    <row r="29" spans="1:17" ht="45" x14ac:dyDescent="0.25">
      <c r="A29" s="37" t="s">
        <v>9</v>
      </c>
      <c r="B29" s="27"/>
      <c r="F29" s="38" t="s">
        <v>9</v>
      </c>
      <c r="H29" s="5" t="s">
        <v>16</v>
      </c>
      <c r="I29" s="5" t="s">
        <v>17</v>
      </c>
      <c r="J29" s="17" t="s">
        <v>35</v>
      </c>
      <c r="K29" s="39" t="s">
        <v>19</v>
      </c>
      <c r="L29" s="19" t="s">
        <v>18</v>
      </c>
      <c r="N29" s="38" t="s">
        <v>9</v>
      </c>
      <c r="O29" s="11" t="s">
        <v>20</v>
      </c>
      <c r="P29" s="20">
        <f>SUM(D33+L30)</f>
        <v>1289</v>
      </c>
      <c r="Q29" s="7"/>
    </row>
    <row r="30" spans="1:17" x14ac:dyDescent="0.25">
      <c r="A30" s="12" t="s">
        <v>32</v>
      </c>
      <c r="B30" s="21">
        <f>B7</f>
        <v>100</v>
      </c>
      <c r="C30" s="22">
        <f>'Basic Cost Length Information'!B10</f>
        <v>1.3</v>
      </c>
      <c r="D30" s="23">
        <f>C30*B30*$C$25/12</f>
        <v>195</v>
      </c>
      <c r="G30" s="5" t="s">
        <v>15</v>
      </c>
      <c r="H30" s="40">
        <f>H7</f>
        <v>75</v>
      </c>
      <c r="I30" s="25">
        <f>SUM(H30/60)</f>
        <v>1.25</v>
      </c>
      <c r="J30" s="26">
        <f>'Basic Cost Length Information'!B16</f>
        <v>4</v>
      </c>
      <c r="K30" s="27">
        <f>B30*J30</f>
        <v>400</v>
      </c>
      <c r="L30" s="25">
        <f>SUM(I30*K30)</f>
        <v>500</v>
      </c>
      <c r="O30" s="10" t="s">
        <v>21</v>
      </c>
      <c r="P30" s="41">
        <f>SUM((P6-P29)/P6)</f>
        <v>0.33522434244455906</v>
      </c>
      <c r="Q30" s="7"/>
    </row>
    <row r="31" spans="1:17" x14ac:dyDescent="0.25">
      <c r="A31" s="12" t="s">
        <v>10</v>
      </c>
      <c r="B31" s="13">
        <f>$B$30*2</f>
        <v>200</v>
      </c>
      <c r="C31" s="22">
        <f>'Basic Cost Length Information'!B12</f>
        <v>2.1</v>
      </c>
      <c r="D31" s="23">
        <f t="shared" si="0"/>
        <v>420</v>
      </c>
      <c r="P31" s="14"/>
      <c r="Q31" s="7"/>
    </row>
    <row r="32" spans="1:17" x14ac:dyDescent="0.25">
      <c r="A32" s="12" t="s">
        <v>8</v>
      </c>
      <c r="B32" s="13">
        <f>$B$30*2</f>
        <v>200</v>
      </c>
      <c r="C32" s="22">
        <f>'Basic Cost Length Information'!B8</f>
        <v>0.87</v>
      </c>
      <c r="D32" s="23">
        <f t="shared" si="0"/>
        <v>174</v>
      </c>
      <c r="P32" s="14"/>
      <c r="Q32" s="7"/>
    </row>
    <row r="33" spans="1:17" x14ac:dyDescent="0.25">
      <c r="A33" s="12" t="s">
        <v>11</v>
      </c>
      <c r="D33" s="25">
        <f>SUM(D30:D32)</f>
        <v>789</v>
      </c>
      <c r="P33" s="14"/>
      <c r="Q33" s="7"/>
    </row>
    <row r="34" spans="1:17" ht="15.75" thickBot="1" x14ac:dyDescent="0.3">
      <c r="A34" s="30"/>
      <c r="B34" s="33"/>
      <c r="C34" s="33"/>
      <c r="D34" s="33"/>
      <c r="E34" s="33"/>
      <c r="F34" s="33"/>
      <c r="G34" s="33"/>
      <c r="H34" s="33"/>
      <c r="I34" s="33"/>
      <c r="J34" s="34"/>
      <c r="K34" s="33"/>
      <c r="L34" s="33"/>
      <c r="M34" s="33"/>
      <c r="N34" s="33"/>
      <c r="O34" s="33"/>
      <c r="P34" s="36"/>
      <c r="Q34" s="7"/>
    </row>
  </sheetData>
  <mergeCells count="18">
    <mergeCell ref="A1:P1"/>
    <mergeCell ref="A2:B2"/>
    <mergeCell ref="A3:B3"/>
    <mergeCell ref="A4:D4"/>
    <mergeCell ref="F4:L4"/>
    <mergeCell ref="N4:P4"/>
    <mergeCell ref="A13:P13"/>
    <mergeCell ref="A14:B14"/>
    <mergeCell ref="A15:B15"/>
    <mergeCell ref="A16:D16"/>
    <mergeCell ref="F16:L16"/>
    <mergeCell ref="N16:P16"/>
    <mergeCell ref="A24:P24"/>
    <mergeCell ref="A25:B25"/>
    <mergeCell ref="A26:B26"/>
    <mergeCell ref="A27:D27"/>
    <mergeCell ref="F27:L27"/>
    <mergeCell ref="N27:P27"/>
  </mergeCells>
  <pageMargins left="0.7" right="0.7" top="0.75" bottom="0.75" header="0.3" footer="0.3"/>
  <pageSetup scale="75" orientation="landscape" r:id="rId1"/>
  <headerFooter>
    <oddHeader>&amp;C&amp;"-,Bold Italic"&amp;18B-Line Cost Savings Calculator: 1-5/8" X 1-5/8" Strut vs. Half Length 4D22 Series Strut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83"/>
  <sheetViews>
    <sheetView topLeftCell="A35" workbookViewId="0">
      <selection activeCell="D62" sqref="D62"/>
    </sheetView>
  </sheetViews>
  <sheetFormatPr defaultColWidth="8.7109375" defaultRowHeight="15" x14ac:dyDescent="0.25"/>
  <sheetData>
    <row r="2" spans="2:8" x14ac:dyDescent="0.25">
      <c r="C2" t="s">
        <v>24</v>
      </c>
    </row>
    <row r="3" spans="2:8" x14ac:dyDescent="0.25">
      <c r="C3" t="s">
        <v>25</v>
      </c>
      <c r="D3" t="s">
        <v>26</v>
      </c>
      <c r="E3" t="s">
        <v>27</v>
      </c>
      <c r="F3" t="s">
        <v>28</v>
      </c>
      <c r="G3" t="s">
        <v>28</v>
      </c>
      <c r="H3" t="s">
        <v>29</v>
      </c>
    </row>
    <row r="4" spans="2:8" x14ac:dyDescent="0.25">
      <c r="B4">
        <v>12</v>
      </c>
      <c r="C4">
        <f>B4/12*1.032</f>
        <v>1.032</v>
      </c>
      <c r="D4">
        <v>1402</v>
      </c>
      <c r="E4">
        <f>IF($P$41&gt;D4,1,0)</f>
        <v>0</v>
      </c>
      <c r="F4">
        <f>IF(E4=0,E4,B4)</f>
        <v>0</v>
      </c>
      <c r="G4">
        <f>IF(F4=0,120, F4)</f>
        <v>120</v>
      </c>
      <c r="H4">
        <f>MIN(G4:G22)</f>
        <v>120</v>
      </c>
    </row>
    <row r="5" spans="2:8" x14ac:dyDescent="0.25">
      <c r="B5">
        <v>18</v>
      </c>
      <c r="C5">
        <f t="shared" ref="C5:C22" si="0">B5/12*1.032</f>
        <v>1.548</v>
      </c>
      <c r="D5">
        <v>700</v>
      </c>
    </row>
    <row r="6" spans="2:8" x14ac:dyDescent="0.25">
      <c r="B6">
        <v>24</v>
      </c>
      <c r="C6">
        <f t="shared" si="0"/>
        <v>2.0640000000000001</v>
      </c>
      <c r="D6">
        <v>700</v>
      </c>
      <c r="E6">
        <f>IF($P$41&gt;D6,1,0)</f>
        <v>0</v>
      </c>
      <c r="F6">
        <f t="shared" ref="F6:F22" si="1">IF(E6=0,E6,B6)</f>
        <v>0</v>
      </c>
      <c r="G6">
        <f t="shared" ref="G6:G22" si="2">IF(F6=0,120, F6)</f>
        <v>120</v>
      </c>
    </row>
    <row r="7" spans="2:8" x14ac:dyDescent="0.25">
      <c r="B7">
        <v>30</v>
      </c>
      <c r="C7">
        <f t="shared" si="0"/>
        <v>2.58</v>
      </c>
      <c r="D7">
        <v>468</v>
      </c>
    </row>
    <row r="8" spans="2:8" x14ac:dyDescent="0.25">
      <c r="B8">
        <v>36</v>
      </c>
      <c r="C8">
        <f t="shared" si="0"/>
        <v>3.0960000000000001</v>
      </c>
      <c r="D8">
        <v>468</v>
      </c>
      <c r="E8">
        <f>IF($P$41&gt;D8,1,0)</f>
        <v>0</v>
      </c>
      <c r="F8">
        <f t="shared" si="1"/>
        <v>0</v>
      </c>
      <c r="G8">
        <f t="shared" si="2"/>
        <v>120</v>
      </c>
    </row>
    <row r="9" spans="2:8" x14ac:dyDescent="0.25">
      <c r="B9">
        <v>42</v>
      </c>
      <c r="C9">
        <f t="shared" si="0"/>
        <v>3.6120000000000001</v>
      </c>
      <c r="D9">
        <v>351</v>
      </c>
    </row>
    <row r="10" spans="2:8" x14ac:dyDescent="0.25">
      <c r="B10">
        <v>48</v>
      </c>
      <c r="C10">
        <f t="shared" si="0"/>
        <v>4.1280000000000001</v>
      </c>
      <c r="D10">
        <v>351</v>
      </c>
      <c r="E10">
        <f>IF($P$41&gt;D10,1,0)</f>
        <v>0</v>
      </c>
      <c r="F10">
        <f t="shared" si="1"/>
        <v>0</v>
      </c>
      <c r="G10">
        <f t="shared" si="2"/>
        <v>120</v>
      </c>
    </row>
    <row r="11" spans="2:8" x14ac:dyDescent="0.25">
      <c r="B11">
        <v>54</v>
      </c>
      <c r="C11">
        <f t="shared" si="0"/>
        <v>4.6440000000000001</v>
      </c>
      <c r="D11">
        <v>280</v>
      </c>
    </row>
    <row r="12" spans="2:8" x14ac:dyDescent="0.25">
      <c r="B12">
        <v>60</v>
      </c>
      <c r="C12">
        <f t="shared" si="0"/>
        <v>5.16</v>
      </c>
      <c r="D12">
        <v>280</v>
      </c>
      <c r="E12">
        <f>IF($P$41&gt;D12,1,0)</f>
        <v>0</v>
      </c>
      <c r="F12">
        <f t="shared" si="1"/>
        <v>0</v>
      </c>
      <c r="G12">
        <f t="shared" si="2"/>
        <v>120</v>
      </c>
    </row>
    <row r="13" spans="2:8" x14ac:dyDescent="0.25">
      <c r="B13">
        <v>66</v>
      </c>
      <c r="C13">
        <f t="shared" si="0"/>
        <v>5.6760000000000002</v>
      </c>
      <c r="D13">
        <v>234</v>
      </c>
    </row>
    <row r="14" spans="2:8" x14ac:dyDescent="0.25">
      <c r="B14">
        <v>72</v>
      </c>
      <c r="C14">
        <f t="shared" si="0"/>
        <v>6.1920000000000002</v>
      </c>
      <c r="D14">
        <v>234</v>
      </c>
      <c r="E14">
        <f>IF($P$41&gt;D14,1,0)</f>
        <v>0</v>
      </c>
      <c r="F14">
        <f t="shared" si="1"/>
        <v>0</v>
      </c>
      <c r="G14">
        <f t="shared" si="2"/>
        <v>120</v>
      </c>
    </row>
    <row r="15" spans="2:8" x14ac:dyDescent="0.25">
      <c r="B15">
        <v>78</v>
      </c>
      <c r="C15">
        <f t="shared" si="0"/>
        <v>6.7080000000000002</v>
      </c>
      <c r="D15">
        <v>200</v>
      </c>
    </row>
    <row r="16" spans="2:8" x14ac:dyDescent="0.25">
      <c r="B16">
        <v>84</v>
      </c>
      <c r="C16">
        <f t="shared" si="0"/>
        <v>7.2240000000000002</v>
      </c>
      <c r="D16">
        <v>200</v>
      </c>
      <c r="E16">
        <f>IF($P$41&gt;D16,1,0)</f>
        <v>0</v>
      </c>
      <c r="F16">
        <f t="shared" si="1"/>
        <v>0</v>
      </c>
      <c r="G16">
        <f t="shared" si="2"/>
        <v>120</v>
      </c>
    </row>
    <row r="17" spans="2:7" x14ac:dyDescent="0.25">
      <c r="B17">
        <v>90</v>
      </c>
      <c r="C17">
        <f t="shared" si="0"/>
        <v>7.74</v>
      </c>
      <c r="D17">
        <v>175</v>
      </c>
    </row>
    <row r="18" spans="2:7" x14ac:dyDescent="0.25">
      <c r="B18">
        <v>96</v>
      </c>
      <c r="C18">
        <f t="shared" si="0"/>
        <v>8.2560000000000002</v>
      </c>
      <c r="D18">
        <v>175</v>
      </c>
      <c r="E18">
        <f>IF($P$41&gt;D18,1,0)</f>
        <v>0</v>
      </c>
      <c r="F18">
        <f t="shared" si="1"/>
        <v>0</v>
      </c>
      <c r="G18">
        <f t="shared" si="2"/>
        <v>120</v>
      </c>
    </row>
    <row r="19" spans="2:7" x14ac:dyDescent="0.25">
      <c r="B19">
        <v>102</v>
      </c>
      <c r="C19">
        <f t="shared" si="0"/>
        <v>8.7720000000000002</v>
      </c>
      <c r="D19">
        <v>156</v>
      </c>
    </row>
    <row r="20" spans="2:7" x14ac:dyDescent="0.25">
      <c r="B20">
        <v>108</v>
      </c>
      <c r="C20">
        <f t="shared" si="0"/>
        <v>9.2880000000000003</v>
      </c>
      <c r="D20">
        <v>156</v>
      </c>
      <c r="E20">
        <f>IF($P$41&gt;D20,1,0)</f>
        <v>0</v>
      </c>
      <c r="F20">
        <f t="shared" si="1"/>
        <v>0</v>
      </c>
      <c r="G20">
        <f t="shared" si="2"/>
        <v>120</v>
      </c>
    </row>
    <row r="21" spans="2:7" x14ac:dyDescent="0.25">
      <c r="B21">
        <v>114</v>
      </c>
      <c r="C21">
        <f t="shared" si="0"/>
        <v>9.8040000000000003</v>
      </c>
      <c r="D21">
        <v>140</v>
      </c>
    </row>
    <row r="22" spans="2:7" x14ac:dyDescent="0.25">
      <c r="B22">
        <v>120</v>
      </c>
      <c r="C22">
        <f t="shared" si="0"/>
        <v>10.32</v>
      </c>
      <c r="D22">
        <v>140</v>
      </c>
      <c r="E22">
        <f>IF($P$41&gt;D22,1,0)</f>
        <v>0</v>
      </c>
      <c r="F22">
        <f t="shared" si="1"/>
        <v>0</v>
      </c>
      <c r="G22">
        <f t="shared" si="2"/>
        <v>120</v>
      </c>
    </row>
    <row r="26" spans="2:7" x14ac:dyDescent="0.25">
      <c r="C26" t="s">
        <v>30</v>
      </c>
    </row>
    <row r="27" spans="2:7" x14ac:dyDescent="0.25">
      <c r="C27" t="s">
        <v>25</v>
      </c>
    </row>
    <row r="28" spans="2:7" x14ac:dyDescent="0.25">
      <c r="B28">
        <v>12</v>
      </c>
      <c r="C28">
        <f>B28/12*2.064</f>
        <v>2.0640000000000001</v>
      </c>
    </row>
    <row r="29" spans="2:7" x14ac:dyDescent="0.25">
      <c r="B29">
        <v>24</v>
      </c>
      <c r="C29">
        <f t="shared" ref="C29:C37" si="3">B29/12*2.064</f>
        <v>4.1280000000000001</v>
      </c>
    </row>
    <row r="30" spans="2:7" x14ac:dyDescent="0.25">
      <c r="B30">
        <v>36</v>
      </c>
      <c r="C30">
        <f t="shared" si="3"/>
        <v>6.1920000000000002</v>
      </c>
    </row>
    <row r="31" spans="2:7" x14ac:dyDescent="0.25">
      <c r="B31">
        <v>48</v>
      </c>
      <c r="C31">
        <f t="shared" si="3"/>
        <v>8.2560000000000002</v>
      </c>
    </row>
    <row r="32" spans="2:7" x14ac:dyDescent="0.25">
      <c r="B32">
        <v>60</v>
      </c>
      <c r="C32">
        <f t="shared" si="3"/>
        <v>10.32</v>
      </c>
    </row>
    <row r="33" spans="2:8" x14ac:dyDescent="0.25">
      <c r="B33">
        <v>72</v>
      </c>
      <c r="C33">
        <f t="shared" si="3"/>
        <v>12.384</v>
      </c>
    </row>
    <row r="34" spans="2:8" x14ac:dyDescent="0.25">
      <c r="B34">
        <v>84</v>
      </c>
      <c r="C34">
        <f t="shared" si="3"/>
        <v>14.448</v>
      </c>
    </row>
    <row r="35" spans="2:8" x14ac:dyDescent="0.25">
      <c r="B35">
        <v>96</v>
      </c>
      <c r="C35">
        <f t="shared" si="3"/>
        <v>16.512</v>
      </c>
    </row>
    <row r="36" spans="2:8" x14ac:dyDescent="0.25">
      <c r="B36">
        <v>108</v>
      </c>
      <c r="C36">
        <f t="shared" si="3"/>
        <v>18.576000000000001</v>
      </c>
    </row>
    <row r="37" spans="2:8" x14ac:dyDescent="0.25">
      <c r="B37">
        <v>120</v>
      </c>
      <c r="C37">
        <f t="shared" si="3"/>
        <v>20.64</v>
      </c>
    </row>
    <row r="41" spans="2:8" x14ac:dyDescent="0.25">
      <c r="C41" t="s">
        <v>31</v>
      </c>
    </row>
    <row r="42" spans="2:8" x14ac:dyDescent="0.25">
      <c r="C42" t="s">
        <v>25</v>
      </c>
      <c r="D42" t="s">
        <v>26</v>
      </c>
      <c r="E42" t="s">
        <v>27</v>
      </c>
      <c r="F42" t="s">
        <v>28</v>
      </c>
      <c r="G42" t="s">
        <v>28</v>
      </c>
      <c r="H42" t="s">
        <v>29</v>
      </c>
    </row>
    <row r="43" spans="2:8" x14ac:dyDescent="0.25">
      <c r="B43">
        <v>12</v>
      </c>
      <c r="C43">
        <f>B43/12*1.603</f>
        <v>1.603</v>
      </c>
      <c r="D43">
        <v>2871</v>
      </c>
      <c r="E43">
        <f t="shared" ref="E43:E61" si="4">IF($P$41&gt;D43,1,0)</f>
        <v>0</v>
      </c>
      <c r="F43">
        <f>IF(E43=0,E43,B43)</f>
        <v>0</v>
      </c>
      <c r="G43">
        <f>IF(F43=0,120, F43)</f>
        <v>120</v>
      </c>
      <c r="H43">
        <f>MIN(G43:G61)</f>
        <v>120</v>
      </c>
    </row>
    <row r="44" spans="2:8" x14ac:dyDescent="0.25">
      <c r="B44">
        <v>18</v>
      </c>
      <c r="C44">
        <f t="shared" ref="C44:C60" si="5">B44/12*1.603</f>
        <v>2.4045000000000001</v>
      </c>
      <c r="D44">
        <v>1872</v>
      </c>
    </row>
    <row r="45" spans="2:8" x14ac:dyDescent="0.25">
      <c r="B45">
        <v>24</v>
      </c>
      <c r="C45">
        <f t="shared" si="5"/>
        <v>3.206</v>
      </c>
      <c r="D45">
        <v>1872</v>
      </c>
      <c r="E45">
        <f t="shared" si="4"/>
        <v>0</v>
      </c>
      <c r="F45">
        <f t="shared" ref="F45:F61" si="6">IF(E45=0,E45,B45)</f>
        <v>0</v>
      </c>
      <c r="G45">
        <f t="shared" ref="G45:G61" si="7">IF(F45=0,120, F45)</f>
        <v>120</v>
      </c>
    </row>
    <row r="46" spans="2:8" x14ac:dyDescent="0.25">
      <c r="B46">
        <v>30</v>
      </c>
      <c r="C46">
        <f t="shared" si="5"/>
        <v>4.0075000000000003</v>
      </c>
      <c r="D46">
        <v>1249</v>
      </c>
    </row>
    <row r="47" spans="2:8" x14ac:dyDescent="0.25">
      <c r="B47">
        <v>36</v>
      </c>
      <c r="C47">
        <f t="shared" si="5"/>
        <v>4.8090000000000002</v>
      </c>
      <c r="D47">
        <v>1249</v>
      </c>
      <c r="E47">
        <f t="shared" si="4"/>
        <v>0</v>
      </c>
      <c r="F47">
        <f t="shared" si="6"/>
        <v>0</v>
      </c>
      <c r="G47">
        <f t="shared" si="7"/>
        <v>120</v>
      </c>
    </row>
    <row r="48" spans="2:8" x14ac:dyDescent="0.25">
      <c r="B48">
        <v>42</v>
      </c>
      <c r="C48">
        <f t="shared" si="5"/>
        <v>5.6105</v>
      </c>
      <c r="D48">
        <v>936</v>
      </c>
    </row>
    <row r="49" spans="2:8" x14ac:dyDescent="0.25">
      <c r="B49">
        <v>48</v>
      </c>
      <c r="C49">
        <f t="shared" si="5"/>
        <v>6.4119999999999999</v>
      </c>
      <c r="D49">
        <v>936</v>
      </c>
      <c r="E49">
        <f t="shared" si="4"/>
        <v>0</v>
      </c>
      <c r="F49">
        <f t="shared" si="6"/>
        <v>0</v>
      </c>
      <c r="G49">
        <f t="shared" si="7"/>
        <v>120</v>
      </c>
    </row>
    <row r="50" spans="2:8" x14ac:dyDescent="0.25">
      <c r="B50">
        <v>54</v>
      </c>
      <c r="C50">
        <f t="shared" si="5"/>
        <v>7.2134999999999998</v>
      </c>
      <c r="D50">
        <v>749</v>
      </c>
    </row>
    <row r="51" spans="2:8" x14ac:dyDescent="0.25">
      <c r="B51">
        <v>60</v>
      </c>
      <c r="C51">
        <f t="shared" si="5"/>
        <v>8.0150000000000006</v>
      </c>
      <c r="D51">
        <v>749</v>
      </c>
      <c r="E51">
        <f t="shared" si="4"/>
        <v>0</v>
      </c>
      <c r="F51">
        <f t="shared" si="6"/>
        <v>0</v>
      </c>
      <c r="G51">
        <f t="shared" si="7"/>
        <v>120</v>
      </c>
    </row>
    <row r="52" spans="2:8" x14ac:dyDescent="0.25">
      <c r="B52">
        <v>66</v>
      </c>
      <c r="C52">
        <f t="shared" si="5"/>
        <v>8.8164999999999996</v>
      </c>
      <c r="D52">
        <v>624</v>
      </c>
    </row>
    <row r="53" spans="2:8" x14ac:dyDescent="0.25">
      <c r="B53">
        <v>72</v>
      </c>
      <c r="C53">
        <f t="shared" si="5"/>
        <v>9.6180000000000003</v>
      </c>
      <c r="D53">
        <v>624</v>
      </c>
      <c r="E53">
        <f t="shared" si="4"/>
        <v>0</v>
      </c>
      <c r="F53">
        <f t="shared" si="6"/>
        <v>0</v>
      </c>
      <c r="G53">
        <f t="shared" si="7"/>
        <v>120</v>
      </c>
    </row>
    <row r="54" spans="2:8" x14ac:dyDescent="0.25">
      <c r="B54">
        <v>78</v>
      </c>
      <c r="C54">
        <f t="shared" si="5"/>
        <v>10.419499999999999</v>
      </c>
      <c r="D54">
        <v>535</v>
      </c>
    </row>
    <row r="55" spans="2:8" x14ac:dyDescent="0.25">
      <c r="B55">
        <v>84</v>
      </c>
      <c r="C55">
        <f t="shared" si="5"/>
        <v>11.221</v>
      </c>
      <c r="D55">
        <v>535</v>
      </c>
      <c r="E55">
        <f t="shared" si="4"/>
        <v>0</v>
      </c>
      <c r="F55">
        <f t="shared" si="6"/>
        <v>0</v>
      </c>
      <c r="G55">
        <f t="shared" si="7"/>
        <v>120</v>
      </c>
    </row>
    <row r="56" spans="2:8" x14ac:dyDescent="0.25">
      <c r="B56">
        <v>90</v>
      </c>
      <c r="C56">
        <f t="shared" si="5"/>
        <v>12.022499999999999</v>
      </c>
      <c r="D56">
        <v>468</v>
      </c>
    </row>
    <row r="57" spans="2:8" x14ac:dyDescent="0.25">
      <c r="B57">
        <v>96</v>
      </c>
      <c r="C57">
        <f t="shared" si="5"/>
        <v>12.824</v>
      </c>
      <c r="D57">
        <v>468</v>
      </c>
      <c r="E57">
        <f t="shared" si="4"/>
        <v>0</v>
      </c>
      <c r="F57">
        <f t="shared" si="6"/>
        <v>0</v>
      </c>
      <c r="G57">
        <f t="shared" si="7"/>
        <v>120</v>
      </c>
    </row>
    <row r="58" spans="2:8" x14ac:dyDescent="0.25">
      <c r="B58">
        <v>102</v>
      </c>
      <c r="C58">
        <f t="shared" si="5"/>
        <v>13.625500000000001</v>
      </c>
      <c r="D58">
        <v>416</v>
      </c>
    </row>
    <row r="59" spans="2:8" x14ac:dyDescent="0.25">
      <c r="B59">
        <v>108</v>
      </c>
      <c r="C59">
        <f t="shared" si="5"/>
        <v>14.427</v>
      </c>
      <c r="D59">
        <v>416</v>
      </c>
      <c r="E59">
        <f t="shared" si="4"/>
        <v>0</v>
      </c>
      <c r="F59">
        <f t="shared" si="6"/>
        <v>0</v>
      </c>
      <c r="G59">
        <f t="shared" si="7"/>
        <v>120</v>
      </c>
    </row>
    <row r="60" spans="2:8" x14ac:dyDescent="0.25">
      <c r="B60">
        <v>114</v>
      </c>
      <c r="C60">
        <f t="shared" si="5"/>
        <v>15.2285</v>
      </c>
      <c r="D60">
        <v>374</v>
      </c>
    </row>
    <row r="61" spans="2:8" x14ac:dyDescent="0.25">
      <c r="B61">
        <v>120</v>
      </c>
      <c r="C61">
        <f t="shared" ref="C61" si="8">B61/12*1.603</f>
        <v>16.03</v>
      </c>
      <c r="D61">
        <v>374</v>
      </c>
      <c r="E61">
        <f t="shared" si="4"/>
        <v>0</v>
      </c>
      <c r="F61">
        <f t="shared" si="6"/>
        <v>0</v>
      </c>
      <c r="G61">
        <f t="shared" si="7"/>
        <v>120</v>
      </c>
    </row>
    <row r="63" spans="2:8" x14ac:dyDescent="0.25">
      <c r="C63" t="s">
        <v>36</v>
      </c>
    </row>
    <row r="64" spans="2:8" x14ac:dyDescent="0.25">
      <c r="C64" t="s">
        <v>25</v>
      </c>
      <c r="D64" t="s">
        <v>26</v>
      </c>
      <c r="E64" t="s">
        <v>27</v>
      </c>
      <c r="F64" t="s">
        <v>28</v>
      </c>
      <c r="G64" t="s">
        <v>28</v>
      </c>
      <c r="H64" t="s">
        <v>29</v>
      </c>
    </row>
    <row r="65" spans="2:8" x14ac:dyDescent="0.25">
      <c r="B65">
        <v>12</v>
      </c>
      <c r="C65">
        <f>B65/12*1.91</f>
        <v>1.91</v>
      </c>
      <c r="D65">
        <v>2610</v>
      </c>
      <c r="E65">
        <f t="shared" ref="E65:E83" si="9">IF($P$41&gt;D65,1,0)</f>
        <v>0</v>
      </c>
      <c r="F65">
        <f>IF(E65=0,E65,B65)</f>
        <v>0</v>
      </c>
      <c r="G65">
        <f>IF(F65=0,120, F65)</f>
        <v>120</v>
      </c>
      <c r="H65">
        <f>MIN(G65:G83)</f>
        <v>120</v>
      </c>
    </row>
    <row r="66" spans="2:8" x14ac:dyDescent="0.25">
      <c r="B66">
        <v>18</v>
      </c>
      <c r="C66">
        <f>B66/12*1.91</f>
        <v>2.8649999999999998</v>
      </c>
      <c r="D66">
        <v>2269</v>
      </c>
    </row>
    <row r="67" spans="2:8" x14ac:dyDescent="0.25">
      <c r="B67">
        <v>24</v>
      </c>
      <c r="C67">
        <f t="shared" ref="C67:C83" si="10">B67/12*1.91</f>
        <v>3.82</v>
      </c>
      <c r="D67">
        <v>1702</v>
      </c>
      <c r="E67">
        <f t="shared" si="9"/>
        <v>0</v>
      </c>
      <c r="F67">
        <f t="shared" ref="F67:F83" si="11">IF(E67=0,E67,B67)</f>
        <v>0</v>
      </c>
      <c r="G67">
        <f t="shared" ref="G67:G83" si="12">IF(F67=0,120, F67)</f>
        <v>120</v>
      </c>
    </row>
    <row r="68" spans="2:8" x14ac:dyDescent="0.25">
      <c r="B68">
        <v>30</v>
      </c>
      <c r="C68">
        <f t="shared" si="10"/>
        <v>4.7749999999999995</v>
      </c>
      <c r="D68">
        <v>1361</v>
      </c>
    </row>
    <row r="69" spans="2:8" x14ac:dyDescent="0.25">
      <c r="B69">
        <v>36</v>
      </c>
      <c r="C69">
        <f t="shared" si="10"/>
        <v>5.7299999999999995</v>
      </c>
      <c r="D69">
        <v>1135</v>
      </c>
      <c r="E69">
        <f t="shared" si="9"/>
        <v>0</v>
      </c>
      <c r="F69">
        <f t="shared" si="11"/>
        <v>0</v>
      </c>
      <c r="G69">
        <f t="shared" si="12"/>
        <v>120</v>
      </c>
    </row>
    <row r="70" spans="2:8" x14ac:dyDescent="0.25">
      <c r="B70">
        <v>42</v>
      </c>
      <c r="C70">
        <f t="shared" si="10"/>
        <v>6.6849999999999996</v>
      </c>
      <c r="D70">
        <v>972</v>
      </c>
    </row>
    <row r="71" spans="2:8" x14ac:dyDescent="0.25">
      <c r="B71">
        <v>48</v>
      </c>
      <c r="C71">
        <f t="shared" si="10"/>
        <v>7.64</v>
      </c>
      <c r="D71">
        <v>851</v>
      </c>
      <c r="E71">
        <f t="shared" si="9"/>
        <v>0</v>
      </c>
      <c r="F71">
        <f t="shared" si="11"/>
        <v>0</v>
      </c>
      <c r="G71">
        <f t="shared" si="12"/>
        <v>120</v>
      </c>
    </row>
    <row r="72" spans="2:8" x14ac:dyDescent="0.25">
      <c r="B72">
        <v>54</v>
      </c>
      <c r="C72">
        <f t="shared" si="10"/>
        <v>8.5949999999999989</v>
      </c>
      <c r="D72">
        <v>756</v>
      </c>
    </row>
    <row r="73" spans="2:8" x14ac:dyDescent="0.25">
      <c r="B73">
        <v>60</v>
      </c>
      <c r="C73">
        <f t="shared" si="10"/>
        <v>9.5499999999999989</v>
      </c>
      <c r="D73">
        <v>681</v>
      </c>
      <c r="E73">
        <f t="shared" si="9"/>
        <v>0</v>
      </c>
      <c r="F73">
        <f t="shared" si="11"/>
        <v>0</v>
      </c>
      <c r="G73">
        <f t="shared" si="12"/>
        <v>120</v>
      </c>
    </row>
    <row r="74" spans="2:8" x14ac:dyDescent="0.25">
      <c r="B74">
        <v>66</v>
      </c>
      <c r="C74">
        <f t="shared" si="10"/>
        <v>10.504999999999999</v>
      </c>
      <c r="D74">
        <v>619</v>
      </c>
    </row>
    <row r="75" spans="2:8" x14ac:dyDescent="0.25">
      <c r="B75">
        <v>72</v>
      </c>
      <c r="C75">
        <f t="shared" si="10"/>
        <v>11.459999999999999</v>
      </c>
      <c r="D75">
        <v>567</v>
      </c>
      <c r="E75">
        <f t="shared" si="9"/>
        <v>0</v>
      </c>
      <c r="F75">
        <f t="shared" si="11"/>
        <v>0</v>
      </c>
      <c r="G75">
        <f t="shared" si="12"/>
        <v>120</v>
      </c>
    </row>
    <row r="76" spans="2:8" x14ac:dyDescent="0.25">
      <c r="B76">
        <v>78</v>
      </c>
      <c r="C76">
        <f t="shared" si="10"/>
        <v>12.414999999999999</v>
      </c>
      <c r="D76">
        <v>524</v>
      </c>
    </row>
    <row r="77" spans="2:8" x14ac:dyDescent="0.25">
      <c r="B77">
        <v>84</v>
      </c>
      <c r="C77">
        <f t="shared" si="10"/>
        <v>13.37</v>
      </c>
      <c r="D77">
        <v>486</v>
      </c>
      <c r="E77">
        <f t="shared" si="9"/>
        <v>0</v>
      </c>
      <c r="F77">
        <f t="shared" si="11"/>
        <v>0</v>
      </c>
      <c r="G77">
        <f t="shared" si="12"/>
        <v>120</v>
      </c>
    </row>
    <row r="78" spans="2:8" x14ac:dyDescent="0.25">
      <c r="B78">
        <v>90</v>
      </c>
      <c r="C78">
        <f t="shared" si="10"/>
        <v>14.324999999999999</v>
      </c>
      <c r="D78">
        <v>454</v>
      </c>
    </row>
    <row r="79" spans="2:8" x14ac:dyDescent="0.25">
      <c r="B79">
        <v>96</v>
      </c>
      <c r="C79">
        <f t="shared" si="10"/>
        <v>15.28</v>
      </c>
      <c r="D79">
        <v>425</v>
      </c>
      <c r="E79">
        <f t="shared" si="9"/>
        <v>0</v>
      </c>
      <c r="F79">
        <f t="shared" si="11"/>
        <v>0</v>
      </c>
      <c r="G79">
        <f t="shared" si="12"/>
        <v>120</v>
      </c>
    </row>
    <row r="80" spans="2:8" x14ac:dyDescent="0.25">
      <c r="B80">
        <v>102</v>
      </c>
      <c r="C80">
        <f t="shared" si="10"/>
        <v>16.234999999999999</v>
      </c>
      <c r="D80">
        <v>400</v>
      </c>
    </row>
    <row r="81" spans="2:7" x14ac:dyDescent="0.25">
      <c r="B81">
        <v>108</v>
      </c>
      <c r="C81">
        <f t="shared" si="10"/>
        <v>17.189999999999998</v>
      </c>
      <c r="D81">
        <v>378</v>
      </c>
      <c r="E81">
        <f t="shared" si="9"/>
        <v>0</v>
      </c>
      <c r="F81">
        <f t="shared" si="11"/>
        <v>0</v>
      </c>
      <c r="G81">
        <f t="shared" si="12"/>
        <v>120</v>
      </c>
    </row>
    <row r="82" spans="2:7" x14ac:dyDescent="0.25">
      <c r="B82">
        <v>114</v>
      </c>
      <c r="C82">
        <f t="shared" si="10"/>
        <v>18.145</v>
      </c>
      <c r="D82">
        <v>358</v>
      </c>
    </row>
    <row r="83" spans="2:7" x14ac:dyDescent="0.25">
      <c r="B83">
        <v>120</v>
      </c>
      <c r="C83">
        <f t="shared" si="10"/>
        <v>19.099999999999998</v>
      </c>
      <c r="D83">
        <v>340</v>
      </c>
      <c r="E83">
        <f t="shared" si="9"/>
        <v>0</v>
      </c>
      <c r="F83">
        <f t="shared" si="11"/>
        <v>0</v>
      </c>
      <c r="G83">
        <f t="shared" si="12"/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E9" sqref="E9"/>
    </sheetView>
  </sheetViews>
  <sheetFormatPr defaultColWidth="9.140625" defaultRowHeight="15" x14ac:dyDescent="0.25"/>
  <cols>
    <col min="1" max="1" width="18.85546875" style="1" customWidth="1"/>
    <col min="2" max="2" width="31.5703125" style="1" customWidth="1"/>
    <col min="3" max="16384" width="9.140625" style="1"/>
  </cols>
  <sheetData>
    <row r="2" spans="1:2" x14ac:dyDescent="0.25">
      <c r="A2" s="1" t="s">
        <v>62</v>
      </c>
    </row>
    <row r="3" spans="1:2" x14ac:dyDescent="0.25">
      <c r="A3" s="1" t="s">
        <v>63</v>
      </c>
    </row>
    <row r="4" spans="1:2" x14ac:dyDescent="0.25">
      <c r="A4" s="1" t="s">
        <v>64</v>
      </c>
    </row>
    <row r="5" spans="1:2" x14ac:dyDescent="0.25">
      <c r="A5" s="1" t="s">
        <v>65</v>
      </c>
    </row>
    <row r="6" spans="1:2" x14ac:dyDescent="0.25">
      <c r="A6" s="1" t="s">
        <v>66</v>
      </c>
    </row>
    <row r="7" spans="1:2" x14ac:dyDescent="0.25">
      <c r="A7" s="1" t="s">
        <v>67</v>
      </c>
    </row>
    <row r="8" spans="1:2" x14ac:dyDescent="0.25">
      <c r="A8" s="1" t="s">
        <v>68</v>
      </c>
    </row>
    <row r="9" spans="1:2" x14ac:dyDescent="0.25">
      <c r="A9" s="1" t="s">
        <v>69</v>
      </c>
    </row>
    <row r="10" spans="1:2" x14ac:dyDescent="0.25">
      <c r="A10" s="1" t="s">
        <v>70</v>
      </c>
    </row>
    <row r="13" spans="1:2" ht="18.75" x14ac:dyDescent="0.3">
      <c r="B13" s="78" t="s">
        <v>71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5" x14ac:dyDescent="0.25"/>
  <sheetData>
    <row r="1" spans="2:2" ht="18" x14ac:dyDescent="0.25">
      <c r="B1" s="79" t="s">
        <v>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Basic Cost Length Information</vt:lpstr>
      <vt:lpstr>4D21 Same Length</vt:lpstr>
      <vt:lpstr>4D21 One Half Length</vt:lpstr>
      <vt:lpstr>4D22 Same Length</vt:lpstr>
      <vt:lpstr>4D22 One Half Length</vt:lpstr>
      <vt:lpstr>Sheet2</vt:lpstr>
      <vt:lpstr>Contractor Information</vt:lpstr>
      <vt:lpstr>Reference Data_SS 15</vt:lpstr>
      <vt:lpstr>'4D21 One Half Length'!Print_Area</vt:lpstr>
      <vt:lpstr>'4D21 Same Length'!Print_Area</vt:lpstr>
      <vt:lpstr>'4D22 One Half Length'!Print_Area</vt:lpstr>
      <vt:lpstr>'4D22 Same Length'!Print_Area</vt:lpstr>
    </vt:vector>
  </TitlesOfParts>
  <Company>Eaton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Streppa, Lewis D</dc:creator>
  <cp:lastModifiedBy>Barthlow, Joshua W</cp:lastModifiedBy>
  <cp:lastPrinted>2015-12-16T20:46:35Z</cp:lastPrinted>
  <dcterms:created xsi:type="dcterms:W3CDTF">2015-11-24T15:00:56Z</dcterms:created>
  <dcterms:modified xsi:type="dcterms:W3CDTF">2018-09-18T12:09:32Z</dcterms:modified>
</cp:coreProperties>
</file>