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 windowWidth="9900" windowHeight="4530" tabRatio="700" activeTab="0"/>
  </bookViews>
  <sheets>
    <sheet name="Input Sheet" sheetId="1" r:id="rId1"/>
    <sheet name="Total Cost of Ownership Summary" sheetId="2" r:id="rId2"/>
  </sheets>
  <definedNames>
    <definedName name="_xlnm.Print_Area" localSheetId="1">'Total Cost of Ownership Summary'!$A$1:$I$66</definedName>
  </definedNames>
  <calcPr fullCalcOnLoad="1"/>
</workbook>
</file>

<file path=xl/comments1.xml><?xml version="1.0" encoding="utf-8"?>
<comments xmlns="http://schemas.openxmlformats.org/spreadsheetml/2006/main">
  <authors>
    <author>Windows User</author>
  </authors>
  <commentList>
    <comment ref="I26" authorId="0">
      <text>
        <r>
          <rPr>
            <sz val="9"/>
            <rFont val="Tahoma"/>
            <family val="2"/>
          </rPr>
          <t>This is based off Theoretical max efficiency * 10%. Typical COP values range from 2-4 depending upon type of system and heating/cooling load. COP is defined as the cooling or heating load handled by unit for every unit of power consumed (Efficiency of HVAC system)</t>
        </r>
      </text>
    </comment>
    <comment ref="J26" authorId="0">
      <text>
        <r>
          <rPr>
            <b/>
            <sz val="9"/>
            <rFont val="Tahoma"/>
            <family val="2"/>
          </rPr>
          <t>Anshuman Bhargava:</t>
        </r>
        <r>
          <rPr>
            <sz val="9"/>
            <rFont val="Tahoma"/>
            <family val="2"/>
          </rPr>
          <t xml:space="preserve">
This is based off Theoretical max efficiency * 10%. Typical COP values range from 2-4 depending upon type of system and heating/cooling load. COP is defined as the cooling or heating load handled by unit for every unit of power consumed (Efficiency of HVAC system)</t>
        </r>
      </text>
    </comment>
    <comment ref="I23" authorId="0">
      <text>
        <r>
          <rPr>
            <sz val="9"/>
            <rFont val="Tahoma"/>
            <family val="2"/>
          </rPr>
          <t xml:space="preserve">Typical Value for most lighting systems
</t>
        </r>
      </text>
    </comment>
    <comment ref="I27" authorId="0">
      <text>
        <r>
          <rPr>
            <b/>
            <sz val="9"/>
            <rFont val="Tahoma"/>
            <family val="2"/>
          </rPr>
          <t>Cannot exceed 149F or 65C operating ambient temperature</t>
        </r>
      </text>
    </comment>
  </commentList>
</comments>
</file>

<file path=xl/comments2.xml><?xml version="1.0" encoding="utf-8"?>
<comments xmlns="http://schemas.openxmlformats.org/spreadsheetml/2006/main">
  <authors>
    <author>EBS Desktop Services</author>
  </authors>
  <commentList>
    <comment ref="F19" authorId="0">
      <text>
        <r>
          <rPr>
            <sz val="9"/>
            <rFont val="Tahoma"/>
            <family val="2"/>
          </rPr>
          <t xml:space="preserve">50% of HID fixtures fail after reaching its economic rated life
</t>
        </r>
      </text>
    </comment>
  </commentList>
</comments>
</file>

<file path=xl/sharedStrings.xml><?xml version="1.0" encoding="utf-8"?>
<sst xmlns="http://schemas.openxmlformats.org/spreadsheetml/2006/main" count="152" uniqueCount="141">
  <si>
    <t>LED SYSTEM</t>
  </si>
  <si>
    <t>Annual energy consumption (kWhr)</t>
  </si>
  <si>
    <t>Annual energy cost ($)</t>
  </si>
  <si>
    <t>Annual Energy Savings ($)</t>
  </si>
  <si>
    <t>Energy Savings</t>
  </si>
  <si>
    <t>Maintenance Savings</t>
  </si>
  <si>
    <t>*Based on Environmental Protection Agency (EPA) emissions factor assumptions.</t>
  </si>
  <si>
    <t>Fewer Cars on the Road:</t>
  </si>
  <si>
    <t>Acres of Trees Planted:</t>
  </si>
  <si>
    <t>CO2 Emissions (lbs):</t>
  </si>
  <si>
    <t>(tons):</t>
  </si>
  <si>
    <t>Coal Emissions (lbs):</t>
  </si>
  <si>
    <t>Equivilant Environmental Impact*</t>
  </si>
  <si>
    <t>Input Watts</t>
  </si>
  <si>
    <t>LED Luminaire Cost</t>
  </si>
  <si>
    <t>A</t>
  </si>
  <si>
    <t>B</t>
  </si>
  <si>
    <t>C</t>
  </si>
  <si>
    <t>Lamp Source</t>
  </si>
  <si>
    <t>CHART A</t>
  </si>
  <si>
    <t>Enter the labor rate ($ per Hour)</t>
  </si>
  <si>
    <t>What is the energy cost on site ? ( $ / kWhr )</t>
  </si>
  <si>
    <t>Ave Lamp Life</t>
  </si>
  <si>
    <t>Input Data</t>
  </si>
  <si>
    <t>Operating Hours Per Year</t>
  </si>
  <si>
    <t>Annual Cost of Replacement Lamps ($)</t>
  </si>
  <si>
    <t>Enter lighting hours of operation per day (12, 24 etc)</t>
  </si>
  <si>
    <t>Many Harsh and Hazardous locations require 2 person teams</t>
  </si>
  <si>
    <t>Use the fully loaded labor rate</t>
  </si>
  <si>
    <t>Energy Savings over  Life of the LED System ($)</t>
  </si>
  <si>
    <t>Cost of replacement lamps in ($)</t>
  </si>
  <si>
    <t>Cost of disposal per lamp ($)</t>
  </si>
  <si>
    <t>Energy Cost over life of LED System</t>
  </si>
  <si>
    <t>Customer or Project Name</t>
  </si>
  <si>
    <t>Notes:</t>
  </si>
  <si>
    <t>Years of Maintenance Free Operation</t>
  </si>
  <si>
    <t>Total Cost of Ownership</t>
  </si>
  <si>
    <t>Time per fixture for lamp maintenance (Hours)</t>
  </si>
  <si>
    <t>How many people are required for lamp maintenance ?</t>
  </si>
  <si>
    <t>Be sure replacement time includes time for approvals, down time, paperwork, lock out tag out, man lift, etc.</t>
  </si>
  <si>
    <t>Design Parameter</t>
  </si>
  <si>
    <t>Toll Free:  (866) 764-5454
Fax:  (315) 477-5179
crouse.customerctr@cooperindustries.com</t>
  </si>
  <si>
    <t>Total Cost of Ownership Comparison</t>
  </si>
  <si>
    <t>LED</t>
  </si>
  <si>
    <t>Total $ Savings!</t>
  </si>
  <si>
    <t>Initial Investment:</t>
  </si>
  <si>
    <t>Energy Savings:</t>
  </si>
  <si>
    <t>Total Savings:</t>
  </si>
  <si>
    <t>Total $ Return:</t>
  </si>
  <si>
    <t># Housholds Annual Electricity Usage:</t>
  </si>
  <si>
    <t xml:space="preserve">Estimated Tax Rebate: </t>
  </si>
  <si>
    <t xml:space="preserve">Initial Investment </t>
  </si>
  <si>
    <t>Tax Rebate</t>
  </si>
  <si>
    <t>Net Investment</t>
  </si>
  <si>
    <t xml:space="preserve">Enter a cost of the existing luminaire ($ each) </t>
  </si>
  <si>
    <t>Labor &amp; Material Savings:</t>
  </si>
  <si>
    <t>Energy &amp; Maintenance Savings</t>
  </si>
  <si>
    <t>`</t>
  </si>
  <si>
    <t>Payback Period on the Entire LED Installation (Years)</t>
  </si>
  <si>
    <t>Chart B</t>
  </si>
  <si>
    <t>D</t>
  </si>
  <si>
    <t>Traditional Lamp Source (Click Cell to Select Lamp Source)</t>
  </si>
  <si>
    <t>LED Light Source (Click Cell to Select LED Source)</t>
  </si>
  <si>
    <t>Customer Name</t>
  </si>
  <si>
    <t>Payback Period on the Incremental LED Cost (Years)</t>
  </si>
  <si>
    <t>Total Maintenance Costs</t>
  </si>
  <si>
    <t>Annual Labor Costs ($)</t>
  </si>
  <si>
    <t>Annual Fixed Maintenance Costs</t>
  </si>
  <si>
    <t>Annual Maintenance Savings ($)</t>
  </si>
  <si>
    <t>Maintenance Savings over Life of the LED System ($)</t>
  </si>
  <si>
    <t>Fraction of year of the cooling season (in weeks)</t>
  </si>
  <si>
    <t>Lighting load met by mechanical cooling (How much of lighting system's heat must be removed by cooling)</t>
  </si>
  <si>
    <t xml:space="preserve">    Ambient Temperature (deg F)</t>
  </si>
  <si>
    <t>Coefficient of Performance of cooling system (COP)</t>
  </si>
  <si>
    <t>Is LED lighting being used in an air conditioned area requiring cooling (If Y, then input ROWS 13-17)</t>
  </si>
  <si>
    <t>YES</t>
  </si>
  <si>
    <t>NO</t>
  </si>
  <si>
    <t xml:space="preserve">    Temperature to be maintained within the air conditioned building (deg F)</t>
  </si>
  <si>
    <t>Estimated  Utility rebate for the project ($)</t>
  </si>
  <si>
    <t>Manufacturing or process downtime opportunity cost due to loss of lighting ($)</t>
  </si>
  <si>
    <t xml:space="preserve">Other Fixed Cost Assosciated with Lamp Maintenance (Lift Rental, Scaffolding etc) </t>
  </si>
  <si>
    <t>Estimated EPACT (Section 179D) tax savings for the project ($)</t>
  </si>
  <si>
    <t xml:space="preserve">Ambient Temp </t>
  </si>
  <si>
    <t>Fixture Life (Hrs)</t>
  </si>
  <si>
    <t>25C</t>
  </si>
  <si>
    <t>30C</t>
  </si>
  <si>
    <t>35C</t>
  </si>
  <si>
    <t>40C</t>
  </si>
  <si>
    <t>45C</t>
  </si>
  <si>
    <t>55C</t>
  </si>
  <si>
    <t>Air Cooling energy savings due to switching over to LED lighting (Kwhr/yr)</t>
  </si>
  <si>
    <t>Air Cooling energy savings due to switching over to LED lighting ($/yr)</t>
  </si>
  <si>
    <t>Total Lighting Energy Costs</t>
  </si>
  <si>
    <t>Incremental Air Cooling Energy Costs</t>
  </si>
  <si>
    <t>Estimated Utility Rebate:</t>
  </si>
  <si>
    <t xml:space="preserve">Enter the input data for your project into the yellow cells below.  When finished, click on the "Total Cost of Ownership Summary" tab to view the cost savings and ROI realized </t>
  </si>
  <si>
    <t>Occupancy Sensor Used</t>
  </si>
  <si>
    <t>% of time lights are turned off in 24 hrs</t>
  </si>
  <si>
    <t xml:space="preserve">Occupancy sensor cost </t>
  </si>
  <si>
    <t>Operating Hrs Per Year With Occ sensor</t>
  </si>
  <si>
    <t>Utility Rebate</t>
  </si>
  <si>
    <t>Input quantity of LED fixtures used for the project ?</t>
  </si>
  <si>
    <t>Input quantity of HID/HPS fixtures being replaced or retrofitted ?</t>
  </si>
  <si>
    <t>Maximum average temperature to which LED fixture will be exposed throughout the year (deg F)</t>
  </si>
  <si>
    <t>Duration after which ballast will be replaced (# of years)</t>
  </si>
  <si>
    <t>Disposal cost of ballast ($)</t>
  </si>
  <si>
    <t>Annual Cost of Replacement Ballasts ($)</t>
  </si>
  <si>
    <t>Cost of replacement of ballast ($)</t>
  </si>
  <si>
    <t>2 Lamp 4ft T8</t>
  </si>
  <si>
    <t>2 lamp 4ft T12</t>
  </si>
  <si>
    <t>2 lamp 4ft T5</t>
  </si>
  <si>
    <t>2 Lamp 4ft T8HO</t>
  </si>
  <si>
    <t>2 lamp 4ft T12HO</t>
  </si>
  <si>
    <t>2 lamp 4ft T5HO</t>
  </si>
  <si>
    <t>2 Lamp 2ft T8</t>
  </si>
  <si>
    <t>2 lamp 2ft T12</t>
  </si>
  <si>
    <t>2 lamp 2ft T5</t>
  </si>
  <si>
    <t>2 Lamp 2ft T8HO</t>
  </si>
  <si>
    <t>2 lamp 2ft T12HO</t>
  </si>
  <si>
    <t>2 lamp 2ft T5HO</t>
  </si>
  <si>
    <t>3 lamp 4ft T8</t>
  </si>
  <si>
    <t>3 lamp 4ft T12</t>
  </si>
  <si>
    <t>3 lamp 4ft T5</t>
  </si>
  <si>
    <t>3 lamp 4ft T8HO</t>
  </si>
  <si>
    <t>3 lamp 4ft T12HO</t>
  </si>
  <si>
    <t>3 lamp 4ft T5HO</t>
  </si>
  <si>
    <t>3 lamp 2ft T8</t>
  </si>
  <si>
    <t>3 lamp 2ft T12</t>
  </si>
  <si>
    <t>3 lamp 2ft T5</t>
  </si>
  <si>
    <t>3 lamp 2ft T8HO</t>
  </si>
  <si>
    <t>3 lamp 2ft T12HO</t>
  </si>
  <si>
    <t>3 lamp 2ft T5HO</t>
  </si>
  <si>
    <t>65C</t>
  </si>
  <si>
    <t>Driver Case Temp
°C</t>
  </si>
  <si>
    <t>LED Tsp Temp
°C</t>
  </si>
  <si>
    <t>L70 LED Life (Hrs)</t>
  </si>
  <si>
    <t xml:space="preserve">Driver Life (L10) (Hrs) </t>
  </si>
  <si>
    <t>LED Fixture Lifetime Analysis</t>
  </si>
  <si>
    <t>Pauluhn ZPL Explosionproof Linear LED - ROI Calculator</t>
  </si>
  <si>
    <t>ZPL4/UNV1 (63w)</t>
  </si>
  <si>
    <t>ZPL2/UNV1 (33w)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</si>
</sst>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_);\(#,##0.0\)"/>
    <numFmt numFmtId="167" formatCode="&quot;$&quot;#,##0.0_);\(&quot;$&quot;#,##0.0\)"/>
    <numFmt numFmtId="168" formatCode="0.0"/>
    <numFmt numFmtId="169" formatCode="\$#,##0_);\(\$#,##0\)"/>
  </numFmts>
  <fonts count="81">
    <font>
      <sz val="10"/>
      <name val="Arial"/>
      <family val="0"/>
    </font>
    <font>
      <sz val="11"/>
      <color indexed="8"/>
      <name val="Calibri"/>
      <family val="2"/>
    </font>
    <font>
      <sz val="8"/>
      <name val="Arial"/>
      <family val="2"/>
    </font>
    <font>
      <b/>
      <sz val="10"/>
      <name val="Arial"/>
      <family val="2"/>
    </font>
    <font>
      <b/>
      <sz val="14"/>
      <name val="Arial"/>
      <family val="2"/>
    </font>
    <font>
      <sz val="14"/>
      <name val="Arial"/>
      <family val="2"/>
    </font>
    <font>
      <b/>
      <sz val="14"/>
      <color indexed="9"/>
      <name val="Arial"/>
      <family val="2"/>
    </font>
    <font>
      <sz val="12"/>
      <name val="Arial"/>
      <family val="2"/>
    </font>
    <font>
      <b/>
      <sz val="14"/>
      <color indexed="17"/>
      <name val="Arial"/>
      <family val="2"/>
    </font>
    <font>
      <b/>
      <sz val="14"/>
      <color indexed="10"/>
      <name val="Arial"/>
      <family val="2"/>
    </font>
    <font>
      <b/>
      <sz val="18"/>
      <color indexed="9"/>
      <name val="Arial"/>
      <family val="2"/>
    </font>
    <font>
      <sz val="14"/>
      <color indexed="9"/>
      <name val="Arial"/>
      <family val="2"/>
    </font>
    <font>
      <b/>
      <i/>
      <sz val="14"/>
      <color indexed="9"/>
      <name val="Arial"/>
      <family val="2"/>
    </font>
    <font>
      <i/>
      <sz val="14"/>
      <color indexed="9"/>
      <name val="Arial"/>
      <family val="2"/>
    </font>
    <font>
      <sz val="13"/>
      <name val="Arial"/>
      <family val="2"/>
    </font>
    <font>
      <b/>
      <sz val="13"/>
      <name val="Arial"/>
      <family val="2"/>
    </font>
    <font>
      <b/>
      <sz val="8"/>
      <name val="Arial"/>
      <family val="2"/>
    </font>
    <font>
      <b/>
      <sz val="8"/>
      <color indexed="9"/>
      <name val="Arial"/>
      <family val="2"/>
    </font>
    <font>
      <b/>
      <u val="single"/>
      <sz val="8"/>
      <name val="Arial"/>
      <family val="2"/>
    </font>
    <font>
      <b/>
      <sz val="8"/>
      <color indexed="62"/>
      <name val="Arial"/>
      <family val="2"/>
    </font>
    <font>
      <sz val="8"/>
      <color indexed="62"/>
      <name val="Arial"/>
      <family val="2"/>
    </font>
    <font>
      <sz val="8"/>
      <color indexed="18"/>
      <name val="Arial"/>
      <family val="2"/>
    </font>
    <font>
      <b/>
      <sz val="8"/>
      <color indexed="18"/>
      <name val="Arial"/>
      <family val="2"/>
    </font>
    <font>
      <sz val="9"/>
      <name val="Tahoma"/>
      <family val="2"/>
    </font>
    <font>
      <b/>
      <sz val="9"/>
      <name val="Tahoma"/>
      <family val="2"/>
    </font>
    <font>
      <i/>
      <sz val="8"/>
      <name val="Arial"/>
      <family val="2"/>
    </font>
    <font>
      <b/>
      <i/>
      <sz val="8"/>
      <name val="Arial"/>
      <family val="2"/>
    </font>
    <font>
      <sz val="2"/>
      <color indexed="8"/>
      <name val="Arial"/>
      <family val="2"/>
    </font>
    <font>
      <b/>
      <sz val="3.25"/>
      <color indexed="8"/>
      <name val="Arial"/>
      <family val="2"/>
    </font>
    <font>
      <sz val="10"/>
      <color indexed="8"/>
      <name val="Calibri"/>
      <family val="2"/>
    </font>
    <font>
      <b/>
      <sz val="16"/>
      <color indexed="8"/>
      <name val="Calibri"/>
      <family val="2"/>
    </font>
    <font>
      <sz val="10.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2"/>
    </font>
    <font>
      <b/>
      <sz val="12"/>
      <color indexed="8"/>
      <name val="Arial"/>
      <family val="2"/>
    </font>
    <font>
      <b/>
      <sz val="8"/>
      <color indexed="10"/>
      <name val="Arial"/>
      <family val="2"/>
    </font>
    <font>
      <sz val="10"/>
      <color indexed="8"/>
      <name val="Arial"/>
      <family val="2"/>
    </font>
    <font>
      <b/>
      <sz val="14"/>
      <color indexed="8"/>
      <name val="Arial"/>
      <family val="2"/>
    </font>
    <font>
      <b/>
      <sz val="24"/>
      <color indexed="8"/>
      <name val="Arial"/>
      <family val="2"/>
    </font>
    <font>
      <sz val="8"/>
      <name val="Tahoma"/>
      <family val="2"/>
    </font>
    <font>
      <b/>
      <sz val="2.75"/>
      <color indexed="8"/>
      <name val="Arial"/>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Arial"/>
      <family val="2"/>
    </font>
    <font>
      <b/>
      <sz val="8"/>
      <color theme="3" tint="-0.24997000396251678"/>
      <name val="Arial"/>
      <family val="2"/>
    </font>
    <font>
      <b/>
      <sz val="8"/>
      <color rgb="FFFF0000"/>
      <name val="Arial"/>
      <family val="2"/>
    </font>
    <font>
      <sz val="10"/>
      <color theme="1"/>
      <name val="Arial"/>
      <family val="2"/>
    </font>
    <font>
      <b/>
      <sz val="24"/>
      <color theme="1"/>
      <name val="Arial"/>
      <family val="2"/>
    </font>
    <font>
      <b/>
      <sz val="14"/>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rgb="FFFFFFFF"/>
        <bgColor indexed="64"/>
      </patternFill>
    </fill>
    <fill>
      <patternFill patternType="solid">
        <fgColor theme="4" tint="-0.4999699890613556"/>
        <bgColor indexed="64"/>
      </patternFill>
    </fill>
    <fill>
      <patternFill patternType="solid">
        <fgColor rgb="FF9FD78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bottom/>
    </border>
    <border>
      <left style="thin"/>
      <right style="thin"/>
      <top/>
      <bottom/>
    </border>
    <border>
      <left style="thin"/>
      <right/>
      <top style="thin"/>
      <bottom/>
    </border>
    <border>
      <left/>
      <right/>
      <top style="thin"/>
      <bottom/>
    </border>
    <border>
      <left/>
      <right style="thin"/>
      <top style="thin"/>
      <bottom/>
    </border>
    <border>
      <left/>
      <right style="thin"/>
      <top/>
      <bottom/>
    </border>
    <border>
      <left style="thin">
        <color indexed="9"/>
      </left>
      <right style="thin">
        <color indexed="9"/>
      </right>
      <top style="thin">
        <color indexed="9"/>
      </top>
      <bottom style="thin">
        <color indexed="9"/>
      </bottom>
    </border>
    <border>
      <left/>
      <right style="thin"/>
      <top style="thin"/>
      <bottom style="thin"/>
    </border>
    <border>
      <left style="thin"/>
      <right style="thin"/>
      <top style="thin"/>
      <bottom/>
    </border>
    <border>
      <left/>
      <right/>
      <top style="thin">
        <color theme="0"/>
      </top>
      <bottom style="thin">
        <color theme="0"/>
      </bottom>
    </border>
    <border>
      <left/>
      <right/>
      <top style="thin">
        <color theme="0"/>
      </top>
      <bottom/>
    </border>
    <border>
      <left/>
      <right/>
      <top/>
      <bottom style="thin">
        <color theme="0"/>
      </bottom>
    </border>
    <border>
      <left/>
      <right style="medium"/>
      <top/>
      <bottom/>
    </border>
    <border>
      <left style="medium"/>
      <right/>
      <top/>
      <bottom/>
    </border>
    <border>
      <left style="thin"/>
      <right style="medium"/>
      <top style="thin"/>
      <bottom style="thin"/>
    </border>
    <border>
      <left style="medium"/>
      <right style="thin"/>
      <top style="thin"/>
      <bottom style="thin"/>
    </border>
    <border>
      <left/>
      <right style="medium"/>
      <top style="thin"/>
      <bottom style="thin"/>
    </border>
    <border>
      <left style="medium"/>
      <right/>
      <top style="thin">
        <color theme="0"/>
      </top>
      <bottom style="thin">
        <color theme="0"/>
      </bottom>
    </border>
    <border>
      <left style="medium"/>
      <right/>
      <top style="medium"/>
      <bottom/>
    </border>
    <border>
      <left/>
      <right/>
      <top style="medium"/>
      <bottom/>
    </border>
    <border>
      <left/>
      <right style="medium"/>
      <top style="medium"/>
      <bottom/>
    </border>
    <border>
      <left style="medium"/>
      <right/>
      <top style="thin">
        <color theme="0"/>
      </top>
      <bottom/>
    </border>
    <border>
      <left style="medium"/>
      <right/>
      <top/>
      <bottom style="medium"/>
    </border>
    <border>
      <left/>
      <right/>
      <top/>
      <bottom style="medium"/>
    </border>
    <border>
      <left/>
      <right style="medium"/>
      <top/>
      <bottom style="medium"/>
    </border>
    <border>
      <left style="thin"/>
      <right style="thin"/>
      <top/>
      <bottom style="thin"/>
    </border>
    <border>
      <left/>
      <right/>
      <top style="thin"/>
      <bottom style="thin"/>
    </border>
    <border>
      <left style="thin"/>
      <right/>
      <top style="thin"/>
      <bottom style="thin"/>
    </border>
    <border>
      <left style="medium"/>
      <right/>
      <top style="thin"/>
      <bottom/>
    </border>
    <border>
      <left style="medium"/>
      <right/>
      <top/>
      <bottom style="thin"/>
    </border>
    <border>
      <left style="medium"/>
      <right/>
      <top style="thin"/>
      <bottom style="thin"/>
    </border>
    <border>
      <left style="thin">
        <color indexed="9"/>
      </left>
      <right/>
      <top style="thin">
        <color indexed="9"/>
      </top>
      <bottom/>
    </border>
    <border>
      <left/>
      <right/>
      <top style="thin">
        <color indexed="9"/>
      </top>
      <bottom/>
    </border>
    <border>
      <left style="thin">
        <color indexed="9"/>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3">
    <xf numFmtId="0" fontId="0" fillId="0" borderId="0" xfId="0" applyAlignment="1">
      <alignment/>
    </xf>
    <xf numFmtId="0" fontId="0" fillId="0" borderId="0" xfId="0" applyAlignment="1">
      <alignment vertical="center"/>
    </xf>
    <xf numFmtId="0" fontId="0" fillId="33" borderId="0" xfId="0" applyFill="1" applyBorder="1" applyAlignment="1">
      <alignment horizontal="center" vertical="center"/>
    </xf>
    <xf numFmtId="0" fontId="0" fillId="0" borderId="0" xfId="0"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3" fontId="8" fillId="33" borderId="13" xfId="42" applyNumberFormat="1" applyFont="1" applyFill="1" applyBorder="1" applyAlignment="1">
      <alignment horizontal="center" vertical="center"/>
    </xf>
    <xf numFmtId="3" fontId="8" fillId="33" borderId="13"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wrapText="1"/>
    </xf>
    <xf numFmtId="0" fontId="4" fillId="33" borderId="0" xfId="0" applyFont="1" applyFill="1" applyBorder="1" applyAlignment="1">
      <alignment horizontal="right" vertical="center"/>
    </xf>
    <xf numFmtId="3" fontId="8" fillId="33" borderId="13" xfId="42" applyNumberFormat="1" applyFont="1" applyFill="1" applyBorder="1" applyAlignment="1">
      <alignment horizontal="center" vertical="center" wrapText="1"/>
    </xf>
    <xf numFmtId="0" fontId="4" fillId="33" borderId="11" xfId="0" applyFont="1" applyFill="1" applyBorder="1" applyAlignment="1">
      <alignment horizontal="right" vertical="center"/>
    </xf>
    <xf numFmtId="3" fontId="8" fillId="33" borderId="11" xfId="42" applyNumberFormat="1" applyFont="1" applyFill="1" applyBorder="1" applyAlignment="1">
      <alignment horizontal="center" vertical="center" wrapText="1"/>
    </xf>
    <xf numFmtId="165" fontId="5" fillId="33" borderId="14" xfId="0" applyNumberFormat="1" applyFont="1" applyFill="1" applyBorder="1" applyAlignment="1">
      <alignment horizontal="center" vertical="center"/>
    </xf>
    <xf numFmtId="165" fontId="5" fillId="33" borderId="15" xfId="0" applyNumberFormat="1" applyFont="1" applyFill="1" applyBorder="1" applyAlignment="1">
      <alignment horizontal="center" vertical="center"/>
    </xf>
    <xf numFmtId="0" fontId="14" fillId="34" borderId="0" xfId="0" applyFont="1" applyFill="1" applyBorder="1" applyAlignment="1">
      <alignment horizontal="right" vertical="center"/>
    </xf>
    <xf numFmtId="0" fontId="15" fillId="34" borderId="0" xfId="0" applyFont="1" applyFill="1" applyBorder="1" applyAlignment="1">
      <alignment horizontal="right" vertical="center"/>
    </xf>
    <xf numFmtId="165" fontId="5" fillId="33" borderId="13" xfId="0" applyNumberFormat="1" applyFont="1" applyFill="1" applyBorder="1" applyAlignment="1">
      <alignment horizontal="center" vertical="center"/>
    </xf>
    <xf numFmtId="0" fontId="6" fillId="33" borderId="16" xfId="0" applyFont="1" applyFill="1" applyBorder="1" applyAlignment="1">
      <alignment horizontal="left" vertical="center"/>
    </xf>
    <xf numFmtId="0" fontId="11" fillId="33" borderId="17" xfId="0" applyFont="1" applyFill="1" applyBorder="1" applyAlignment="1">
      <alignment vertical="center"/>
    </xf>
    <xf numFmtId="0" fontId="12" fillId="33" borderId="17" xfId="0" applyFont="1" applyFill="1" applyBorder="1" applyAlignment="1">
      <alignment horizontal="center" vertical="center"/>
    </xf>
    <xf numFmtId="0" fontId="13" fillId="33" borderId="17" xfId="0" applyFont="1" applyFill="1" applyBorder="1" applyAlignment="1">
      <alignment horizontal="center" vertical="center"/>
    </xf>
    <xf numFmtId="0" fontId="12" fillId="33" borderId="17" xfId="0" applyFont="1" applyFill="1" applyBorder="1" applyAlignment="1">
      <alignment horizontal="right" vertical="center"/>
    </xf>
    <xf numFmtId="0" fontId="5" fillId="33" borderId="18" xfId="0" applyFont="1" applyFill="1" applyBorder="1" applyAlignment="1">
      <alignment vertical="center"/>
    </xf>
    <xf numFmtId="3" fontId="5" fillId="33" borderId="0" xfId="0" applyNumberFormat="1" applyFont="1" applyFill="1" applyBorder="1" applyAlignment="1">
      <alignment horizontal="center" vertical="center"/>
    </xf>
    <xf numFmtId="0" fontId="4" fillId="33" borderId="10" xfId="0" applyFont="1" applyFill="1" applyBorder="1" applyAlignment="1">
      <alignment horizontal="right" vertical="center" wrapText="1"/>
    </xf>
    <xf numFmtId="0" fontId="4" fillId="33" borderId="11" xfId="0" applyFont="1" applyFill="1" applyBorder="1" applyAlignment="1">
      <alignment horizontal="right" vertical="center" wrapText="1"/>
    </xf>
    <xf numFmtId="3" fontId="8" fillId="33" borderId="11" xfId="42" applyNumberFormat="1" applyFont="1" applyFill="1" applyBorder="1" applyAlignment="1">
      <alignment horizontal="left" vertical="center"/>
    </xf>
    <xf numFmtId="0" fontId="0" fillId="33" borderId="0" xfId="0" applyFont="1" applyFill="1" applyBorder="1" applyAlignment="1">
      <alignment vertical="center"/>
    </xf>
    <xf numFmtId="0" fontId="0" fillId="33" borderId="0" xfId="0" applyFill="1" applyBorder="1" applyAlignment="1">
      <alignment vertical="center"/>
    </xf>
    <xf numFmtId="5" fontId="5" fillId="33" borderId="15" xfId="0" applyNumberFormat="1" applyFont="1" applyFill="1" applyBorder="1" applyAlignment="1">
      <alignment horizontal="center"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19"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wrapText="1"/>
    </xf>
    <xf numFmtId="0" fontId="5" fillId="33" borderId="0" xfId="0" applyFont="1" applyFill="1" applyBorder="1" applyAlignment="1">
      <alignment horizontal="center" vertical="center"/>
    </xf>
    <xf numFmtId="165" fontId="5" fillId="33" borderId="0" xfId="0" applyNumberFormat="1" applyFont="1" applyFill="1" applyBorder="1" applyAlignment="1">
      <alignment horizontal="center" vertical="center"/>
    </xf>
    <xf numFmtId="6" fontId="4" fillId="34" borderId="0" xfId="0" applyNumberFormat="1" applyFont="1" applyFill="1" applyBorder="1" applyAlignment="1">
      <alignment horizontal="center" vertical="center"/>
    </xf>
    <xf numFmtId="0" fontId="5" fillId="34" borderId="10" xfId="0" applyFont="1" applyFill="1" applyBorder="1" applyAlignment="1">
      <alignment vertical="center"/>
    </xf>
    <xf numFmtId="0" fontId="5" fillId="34" borderId="11" xfId="0" applyFont="1" applyFill="1" applyBorder="1" applyAlignment="1">
      <alignment vertical="center"/>
    </xf>
    <xf numFmtId="0" fontId="0" fillId="0" borderId="20" xfId="0" applyBorder="1" applyAlignment="1">
      <alignment vertical="center"/>
    </xf>
    <xf numFmtId="37" fontId="0" fillId="0" borderId="0" xfId="0" applyNumberFormat="1" applyAlignment="1">
      <alignment vertical="center"/>
    </xf>
    <xf numFmtId="164" fontId="0" fillId="0" borderId="0" xfId="0" applyNumberFormat="1" applyAlignment="1">
      <alignment vertical="center"/>
    </xf>
    <xf numFmtId="0" fontId="3" fillId="33" borderId="0" xfId="0" applyFont="1" applyFill="1" applyBorder="1" applyAlignment="1">
      <alignment vertical="center"/>
    </xf>
    <xf numFmtId="39" fontId="4" fillId="33" borderId="0" xfId="44" applyNumberFormat="1" applyFont="1" applyFill="1" applyBorder="1" applyAlignment="1">
      <alignment horizontal="center" vertical="center"/>
    </xf>
    <xf numFmtId="0" fontId="5" fillId="33" borderId="14" xfId="0" applyFont="1" applyFill="1" applyBorder="1" applyAlignment="1">
      <alignment horizontal="right" vertical="center"/>
    </xf>
    <xf numFmtId="0" fontId="74" fillId="35" borderId="13" xfId="0" applyFont="1" applyFill="1" applyBorder="1" applyAlignment="1">
      <alignment horizontal="center" vertical="center"/>
    </xf>
    <xf numFmtId="0" fontId="5" fillId="34" borderId="0" xfId="0" applyFont="1" applyFill="1" applyBorder="1" applyAlignment="1">
      <alignment horizontal="center" vertical="center"/>
    </xf>
    <xf numFmtId="0" fontId="0" fillId="33" borderId="19" xfId="0" applyFill="1" applyBorder="1" applyAlignment="1">
      <alignment vertical="center"/>
    </xf>
    <xf numFmtId="8" fontId="0" fillId="0" borderId="0" xfId="0" applyNumberFormat="1" applyAlignment="1">
      <alignment vertical="center"/>
    </xf>
    <xf numFmtId="165" fontId="5" fillId="33" borderId="19" xfId="0" applyNumberFormat="1" applyFont="1" applyFill="1" applyBorder="1" applyAlignment="1">
      <alignment horizontal="center" vertical="center"/>
    </xf>
    <xf numFmtId="6" fontId="0" fillId="0" borderId="0" xfId="0" applyNumberFormat="1" applyAlignment="1">
      <alignment vertical="center"/>
    </xf>
    <xf numFmtId="165" fontId="5" fillId="34" borderId="0" xfId="0" applyNumberFormat="1" applyFont="1" applyFill="1" applyBorder="1" applyAlignment="1">
      <alignment horizontal="center" vertical="center"/>
    </xf>
    <xf numFmtId="6" fontId="4" fillId="0" borderId="0" xfId="0" applyNumberFormat="1" applyFont="1" applyFill="1" applyBorder="1" applyAlignment="1">
      <alignment horizontal="center" vertical="center"/>
    </xf>
    <xf numFmtId="6" fontId="0" fillId="34" borderId="0" xfId="0" applyNumberFormat="1" applyFill="1" applyBorder="1" applyAlignment="1">
      <alignment vertical="center"/>
    </xf>
    <xf numFmtId="0" fontId="5" fillId="34" borderId="0" xfId="0" applyFont="1" applyFill="1" applyBorder="1" applyAlignment="1">
      <alignment vertical="center"/>
    </xf>
    <xf numFmtId="0" fontId="0" fillId="0" borderId="0" xfId="0" applyBorder="1" applyAlignment="1">
      <alignment vertical="center"/>
    </xf>
    <xf numFmtId="166" fontId="0" fillId="0" borderId="0" xfId="0" applyNumberFormat="1" applyBorder="1" applyAlignment="1">
      <alignment vertical="center"/>
    </xf>
    <xf numFmtId="167" fontId="0" fillId="0" borderId="0" xfId="0" applyNumberFormat="1" applyAlignment="1">
      <alignment vertical="center"/>
    </xf>
    <xf numFmtId="0" fontId="0" fillId="0" borderId="0" xfId="0" applyBorder="1" applyAlignment="1">
      <alignment horizontal="center" vertical="center"/>
    </xf>
    <xf numFmtId="165" fontId="5" fillId="33" borderId="0" xfId="0" applyNumberFormat="1" applyFont="1" applyFill="1" applyBorder="1" applyAlignment="1">
      <alignment vertical="center"/>
    </xf>
    <xf numFmtId="165" fontId="5" fillId="33" borderId="19" xfId="0" applyNumberFormat="1" applyFont="1"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center" vertical="center"/>
    </xf>
    <xf numFmtId="165" fontId="0" fillId="33" borderId="11" xfId="0" applyNumberFormat="1" applyFill="1" applyBorder="1" applyAlignment="1">
      <alignment horizontal="center" vertical="center"/>
    </xf>
    <xf numFmtId="0" fontId="0" fillId="33" borderId="12" xfId="0" applyFill="1" applyBorder="1" applyAlignment="1">
      <alignment vertical="center"/>
    </xf>
    <xf numFmtId="165" fontId="0" fillId="33" borderId="0" xfId="0" applyNumberFormat="1"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horizontal="right" vertical="center"/>
    </xf>
    <xf numFmtId="0" fontId="5"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4" fillId="34" borderId="14" xfId="0" applyFont="1" applyFill="1" applyBorder="1" applyAlignment="1">
      <alignment vertical="center"/>
    </xf>
    <xf numFmtId="39" fontId="9" fillId="34" borderId="19" xfId="44" applyNumberFormat="1" applyFont="1" applyFill="1" applyBorder="1" applyAlignment="1">
      <alignment horizontal="center" vertical="center"/>
    </xf>
    <xf numFmtId="0" fontId="4" fillId="34" borderId="0" xfId="0" applyFont="1" applyFill="1" applyBorder="1" applyAlignment="1">
      <alignment horizontal="right" vertical="center"/>
    </xf>
    <xf numFmtId="0" fontId="0" fillId="0" borderId="0" xfId="0" applyFont="1" applyAlignment="1">
      <alignment vertical="center"/>
    </xf>
    <xf numFmtId="0" fontId="75" fillId="35" borderId="13" xfId="0" applyFont="1" applyFill="1" applyBorder="1" applyAlignment="1">
      <alignment horizontal="center" vertical="center"/>
    </xf>
    <xf numFmtId="0" fontId="2" fillId="34" borderId="0" xfId="0" applyFont="1" applyFill="1" applyAlignment="1">
      <alignment/>
    </xf>
    <xf numFmtId="0" fontId="2" fillId="34" borderId="0" xfId="0" applyFont="1" applyFill="1" applyAlignment="1">
      <alignment wrapText="1"/>
    </xf>
    <xf numFmtId="0" fontId="2" fillId="34" borderId="0" xfId="0" applyFont="1" applyFill="1" applyAlignment="1">
      <alignment horizontal="center"/>
    </xf>
    <xf numFmtId="0" fontId="2" fillId="0" borderId="0" xfId="0" applyFont="1" applyAlignment="1">
      <alignment horizontal="center"/>
    </xf>
    <xf numFmtId="0" fontId="2" fillId="0" borderId="0" xfId="0" applyFont="1" applyAlignment="1">
      <alignment/>
    </xf>
    <xf numFmtId="0" fontId="16" fillId="34" borderId="0" xfId="0" applyFont="1" applyFill="1" applyAlignment="1">
      <alignment horizontal="center" vertical="center" wrapText="1"/>
    </xf>
    <xf numFmtId="0" fontId="16" fillId="0" borderId="0" xfId="0" applyFont="1" applyAlignment="1">
      <alignment horizontal="center" vertical="center" wrapText="1"/>
    </xf>
    <xf numFmtId="0" fontId="2" fillId="34" borderId="0" xfId="0" applyFont="1" applyFill="1" applyAlignment="1">
      <alignment horizontal="center" vertical="center"/>
    </xf>
    <xf numFmtId="0" fontId="19" fillId="34" borderId="21" xfId="0" applyFont="1" applyFill="1" applyBorder="1" applyAlignment="1">
      <alignment horizontal="center" vertical="center"/>
    </xf>
    <xf numFmtId="0" fontId="20" fillId="34" borderId="0" xfId="0" applyFont="1" applyFill="1" applyAlignment="1">
      <alignment horizontal="center" vertical="center"/>
    </xf>
    <xf numFmtId="3" fontId="20" fillId="34" borderId="0" xfId="0" applyNumberFormat="1" applyFont="1" applyFill="1" applyAlignment="1">
      <alignment horizontal="center" vertical="center"/>
    </xf>
    <xf numFmtId="0" fontId="76" fillId="0" borderId="13" xfId="0" applyFont="1" applyBorder="1" applyAlignment="1">
      <alignment horizontal="center" vertical="center"/>
    </xf>
    <xf numFmtId="0" fontId="2" fillId="0" borderId="0" xfId="0" applyFont="1" applyAlignment="1">
      <alignment horizontal="center" vertical="center"/>
    </xf>
    <xf numFmtId="7" fontId="2" fillId="0" borderId="0" xfId="0" applyNumberFormat="1" applyFont="1" applyAlignment="1">
      <alignment horizontal="center" vertical="center"/>
    </xf>
    <xf numFmtId="0" fontId="21" fillId="34" borderId="0" xfId="0" applyFont="1" applyFill="1" applyAlignment="1">
      <alignment horizontal="center" vertical="center"/>
    </xf>
    <xf numFmtId="0" fontId="20" fillId="34" borderId="0" xfId="0" applyFont="1" applyFill="1" applyAlignment="1">
      <alignment horizontal="left" vertical="center"/>
    </xf>
    <xf numFmtId="3" fontId="20" fillId="34" borderId="0" xfId="42" applyNumberFormat="1" applyFont="1" applyFill="1" applyAlignment="1">
      <alignment horizontal="center" vertical="center"/>
    </xf>
    <xf numFmtId="0" fontId="16" fillId="0" borderId="13" xfId="0" applyFont="1" applyBorder="1" applyAlignment="1">
      <alignment horizontal="center" vertical="center"/>
    </xf>
    <xf numFmtId="0" fontId="20" fillId="34" borderId="0" xfId="0" applyFont="1" applyFill="1" applyBorder="1" applyAlignment="1">
      <alignment horizontal="center" vertical="center"/>
    </xf>
    <xf numFmtId="0" fontId="19" fillId="34" borderId="0" xfId="0" applyFont="1" applyFill="1" applyBorder="1" applyAlignment="1">
      <alignment horizontal="center" vertical="center"/>
    </xf>
    <xf numFmtId="0" fontId="2" fillId="34" borderId="0" xfId="0" applyFont="1" applyFill="1" applyBorder="1" applyAlignment="1">
      <alignment horizontal="center"/>
    </xf>
    <xf numFmtId="0" fontId="16" fillId="36" borderId="21" xfId="0" applyFont="1" applyFill="1" applyBorder="1" applyAlignment="1">
      <alignment horizontal="center"/>
    </xf>
    <xf numFmtId="0" fontId="16" fillId="36" borderId="22" xfId="0" applyFont="1" applyFill="1" applyBorder="1" applyAlignment="1">
      <alignment horizontal="center"/>
    </xf>
    <xf numFmtId="0" fontId="16" fillId="36" borderId="17" xfId="0" applyFont="1" applyFill="1" applyBorder="1" applyAlignment="1">
      <alignment horizontal="center"/>
    </xf>
    <xf numFmtId="0" fontId="2" fillId="34" borderId="0" xfId="0" applyFont="1" applyFill="1" applyBorder="1" applyAlignment="1">
      <alignment horizontal="center" vertical="center"/>
    </xf>
    <xf numFmtId="0" fontId="2" fillId="0" borderId="0" xfId="0" applyFont="1" applyAlignment="1">
      <alignment wrapText="1"/>
    </xf>
    <xf numFmtId="0" fontId="2" fillId="34" borderId="23" xfId="0" applyFont="1" applyFill="1" applyBorder="1" applyAlignment="1">
      <alignment wrapText="1"/>
    </xf>
    <xf numFmtId="0" fontId="2" fillId="0" borderId="23" xfId="0" applyFont="1" applyBorder="1" applyAlignment="1">
      <alignment wrapText="1"/>
    </xf>
    <xf numFmtId="0" fontId="2" fillId="34" borderId="23" xfId="0" applyFont="1" applyFill="1" applyBorder="1" applyAlignment="1">
      <alignment/>
    </xf>
    <xf numFmtId="0" fontId="2" fillId="34" borderId="24" xfId="0" applyFont="1" applyFill="1" applyBorder="1" applyAlignment="1">
      <alignment wrapText="1"/>
    </xf>
    <xf numFmtId="0" fontId="2" fillId="0" borderId="24" xfId="0" applyFont="1" applyBorder="1" applyAlignment="1">
      <alignment wrapText="1"/>
    </xf>
    <xf numFmtId="0" fontId="2" fillId="34" borderId="24" xfId="0" applyFont="1" applyFill="1" applyBorder="1" applyAlignment="1">
      <alignment/>
    </xf>
    <xf numFmtId="0" fontId="22" fillId="34" borderId="21" xfId="0" applyFont="1" applyFill="1" applyBorder="1" applyAlignment="1">
      <alignment horizontal="center" vertical="center"/>
    </xf>
    <xf numFmtId="0" fontId="2" fillId="34" borderId="25" xfId="0" applyFont="1" applyFill="1" applyBorder="1" applyAlignment="1">
      <alignment wrapText="1"/>
    </xf>
    <xf numFmtId="0" fontId="2" fillId="0" borderId="25" xfId="0" applyFont="1" applyBorder="1" applyAlignment="1">
      <alignment wrapText="1"/>
    </xf>
    <xf numFmtId="0" fontId="2" fillId="34" borderId="25" xfId="0" applyFont="1" applyFill="1" applyBorder="1" applyAlignment="1">
      <alignment/>
    </xf>
    <xf numFmtId="0" fontId="2" fillId="34" borderId="26" xfId="0" applyFont="1" applyFill="1" applyBorder="1" applyAlignment="1">
      <alignment/>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26" xfId="0" applyFont="1" applyFill="1" applyBorder="1" applyAlignment="1">
      <alignment horizontal="center" vertical="center" wrapText="1"/>
    </xf>
    <xf numFmtId="0" fontId="17" fillId="37" borderId="28" xfId="0" applyFont="1" applyFill="1" applyBorder="1" applyAlignment="1">
      <alignment horizontal="center" vertical="center" wrapText="1"/>
    </xf>
    <xf numFmtId="0" fontId="2" fillId="33" borderId="29" xfId="0" applyFont="1" applyFill="1" applyBorder="1" applyAlignment="1">
      <alignment horizontal="center" vertical="center"/>
    </xf>
    <xf numFmtId="0" fontId="16" fillId="38" borderId="30" xfId="0" applyFont="1" applyFill="1" applyBorder="1" applyAlignment="1" applyProtection="1">
      <alignment horizontal="center" vertical="center"/>
      <protection locked="0"/>
    </xf>
    <xf numFmtId="164" fontId="16" fillId="38" borderId="30" xfId="0" applyNumberFormat="1" applyFont="1" applyFill="1" applyBorder="1" applyAlignment="1" applyProtection="1">
      <alignment horizontal="center" vertical="center"/>
      <protection locked="0"/>
    </xf>
    <xf numFmtId="7" fontId="16" fillId="38" borderId="30" xfId="44" applyNumberFormat="1" applyFont="1" applyFill="1" applyBorder="1" applyAlignment="1" applyProtection="1">
      <alignment horizontal="center" vertical="center"/>
      <protection locked="0"/>
    </xf>
    <xf numFmtId="2" fontId="16" fillId="38" borderId="30" xfId="0" applyNumberFormat="1" applyFont="1" applyFill="1" applyBorder="1" applyAlignment="1" applyProtection="1">
      <alignment horizontal="center" vertical="center"/>
      <protection locked="0"/>
    </xf>
    <xf numFmtId="0" fontId="2" fillId="0" borderId="0" xfId="0" applyFont="1" applyBorder="1" applyAlignment="1">
      <alignment wrapText="1"/>
    </xf>
    <xf numFmtId="0" fontId="2" fillId="34" borderId="0" xfId="0" applyFont="1" applyFill="1" applyBorder="1" applyAlignment="1">
      <alignment horizontal="left" vertical="center"/>
    </xf>
    <xf numFmtId="0" fontId="2" fillId="34" borderId="0" xfId="0" applyFont="1" applyFill="1" applyBorder="1" applyAlignment="1">
      <alignment/>
    </xf>
    <xf numFmtId="0" fontId="18" fillId="34" borderId="31"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wrapText="1"/>
    </xf>
    <xf numFmtId="0" fontId="2" fillId="34" borderId="33" xfId="0" applyFont="1" applyFill="1" applyBorder="1" applyAlignment="1">
      <alignment wrapText="1"/>
    </xf>
    <xf numFmtId="0" fontId="2" fillId="34" borderId="34" xfId="0" applyFont="1" applyFill="1" applyBorder="1" applyAlignment="1">
      <alignment/>
    </xf>
    <xf numFmtId="0" fontId="2" fillId="34" borderId="35" xfId="0"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wrapText="1"/>
    </xf>
    <xf numFmtId="0" fontId="2" fillId="0" borderId="37" xfId="0" applyFont="1" applyBorder="1" applyAlignment="1">
      <alignment wrapText="1"/>
    </xf>
    <xf numFmtId="0" fontId="2" fillId="34" borderId="38" xfId="0" applyFont="1" applyFill="1" applyBorder="1" applyAlignment="1">
      <alignment/>
    </xf>
    <xf numFmtId="0" fontId="2" fillId="33" borderId="22" xfId="0" applyFont="1" applyFill="1" applyBorder="1" applyAlignment="1">
      <alignment horizontal="center"/>
    </xf>
    <xf numFmtId="0" fontId="2" fillId="33" borderId="15" xfId="0" applyFont="1" applyFill="1" applyBorder="1" applyAlignment="1">
      <alignment horizontal="center" vertical="center"/>
    </xf>
    <xf numFmtId="0" fontId="2" fillId="33" borderId="39" xfId="0" applyFont="1" applyFill="1" applyBorder="1" applyAlignment="1">
      <alignment horizontal="center" vertical="center"/>
    </xf>
    <xf numFmtId="5" fontId="0" fillId="0" borderId="0" xfId="0" applyNumberFormat="1" applyAlignment="1">
      <alignment vertical="center"/>
    </xf>
    <xf numFmtId="165" fontId="0" fillId="0" borderId="0" xfId="0" applyNumberFormat="1" applyAlignment="1">
      <alignment vertical="center"/>
    </xf>
    <xf numFmtId="0" fontId="16" fillId="36" borderId="13" xfId="0" applyFont="1" applyFill="1" applyBorder="1" applyAlignment="1">
      <alignment horizontal="center" wrapText="1"/>
    </xf>
    <xf numFmtId="0" fontId="16" fillId="34" borderId="13" xfId="0" applyFont="1" applyFill="1" applyBorder="1" applyAlignment="1">
      <alignment horizontal="center" vertical="center"/>
    </xf>
    <xf numFmtId="1" fontId="2" fillId="34" borderId="13" xfId="0" applyNumberFormat="1" applyFont="1" applyFill="1" applyBorder="1" applyAlignment="1">
      <alignment horizontal="center" vertical="center"/>
    </xf>
    <xf numFmtId="1" fontId="2" fillId="34" borderId="21" xfId="0" applyNumberFormat="1" applyFont="1" applyFill="1" applyBorder="1" applyAlignment="1">
      <alignment horizontal="center" vertical="center"/>
    </xf>
    <xf numFmtId="49" fontId="2" fillId="34" borderId="28" xfId="0" applyNumberFormat="1" applyFont="1" applyFill="1" applyBorder="1" applyAlignment="1">
      <alignment horizontal="center" vertical="center"/>
    </xf>
    <xf numFmtId="2" fontId="21" fillId="34" borderId="0" xfId="0" applyNumberFormat="1" applyFont="1" applyFill="1" applyAlignment="1">
      <alignment horizontal="center" vertical="center"/>
    </xf>
    <xf numFmtId="4" fontId="77" fillId="39" borderId="30" xfId="0" applyNumberFormat="1" applyFont="1" applyFill="1" applyBorder="1" applyAlignment="1" applyProtection="1">
      <alignment horizontal="center" vertical="center"/>
      <protection locked="0"/>
    </xf>
    <xf numFmtId="4" fontId="77" fillId="39" borderId="40" xfId="0" applyNumberFormat="1" applyFont="1" applyFill="1" applyBorder="1" applyAlignment="1" applyProtection="1">
      <alignment horizontal="center" vertical="center"/>
      <protection locked="0"/>
    </xf>
    <xf numFmtId="0" fontId="2" fillId="33" borderId="41" xfId="0" applyFont="1" applyFill="1" applyBorder="1" applyAlignment="1">
      <alignment horizontal="left" vertical="center" indent="1"/>
    </xf>
    <xf numFmtId="0" fontId="2" fillId="33" borderId="40" xfId="0" applyFont="1" applyFill="1" applyBorder="1" applyAlignment="1">
      <alignment horizontal="left" vertical="center" indent="1"/>
    </xf>
    <xf numFmtId="0" fontId="2" fillId="33" borderId="21" xfId="0" applyFont="1" applyFill="1" applyBorder="1" applyAlignment="1">
      <alignment horizontal="left" vertical="center" indent="1"/>
    </xf>
    <xf numFmtId="0" fontId="25" fillId="40" borderId="41" xfId="0" applyFont="1" applyFill="1" applyBorder="1" applyAlignment="1">
      <alignment horizontal="left" vertical="center" indent="4"/>
    </xf>
    <xf numFmtId="0" fontId="25" fillId="40" borderId="40" xfId="0" applyFont="1" applyFill="1" applyBorder="1" applyAlignment="1">
      <alignment horizontal="left" vertical="center" indent="4"/>
    </xf>
    <xf numFmtId="0" fontId="25" fillId="40" borderId="21" xfId="0" applyFont="1" applyFill="1" applyBorder="1" applyAlignment="1">
      <alignment horizontal="left" vertical="center" indent="4"/>
    </xf>
    <xf numFmtId="0" fontId="26" fillId="39" borderId="30" xfId="0" applyFont="1" applyFill="1" applyBorder="1" applyAlignment="1" applyProtection="1">
      <alignment horizontal="center" vertical="center"/>
      <protection locked="0"/>
    </xf>
    <xf numFmtId="4" fontId="26" fillId="39" borderId="30" xfId="0" applyNumberFormat="1" applyFont="1" applyFill="1" applyBorder="1" applyAlignment="1" applyProtection="1">
      <alignment horizontal="center" vertical="center"/>
      <protection locked="0"/>
    </xf>
    <xf numFmtId="3" fontId="26" fillId="39" borderId="30" xfId="0" applyNumberFormat="1" applyFont="1" applyFill="1" applyBorder="1" applyAlignment="1" applyProtection="1">
      <alignment horizontal="center" vertical="center"/>
      <protection locked="0"/>
    </xf>
    <xf numFmtId="9" fontId="16" fillId="38" borderId="30" xfId="44" applyNumberFormat="1" applyFont="1" applyFill="1" applyBorder="1" applyAlignment="1" applyProtection="1">
      <alignment horizontal="center" vertical="center"/>
      <protection locked="0"/>
    </xf>
    <xf numFmtId="0" fontId="25" fillId="34" borderId="41" xfId="0" applyFont="1" applyFill="1" applyBorder="1" applyAlignment="1">
      <alignment horizontal="left" vertical="center" indent="4"/>
    </xf>
    <xf numFmtId="0" fontId="25" fillId="34" borderId="40" xfId="0" applyFont="1" applyFill="1" applyBorder="1" applyAlignment="1">
      <alignment horizontal="left" vertical="center" indent="4"/>
    </xf>
    <xf numFmtId="0" fontId="25" fillId="34" borderId="21" xfId="0" applyFont="1" applyFill="1" applyBorder="1" applyAlignment="1">
      <alignment horizontal="left" vertical="center" indent="4"/>
    </xf>
    <xf numFmtId="0" fontId="16" fillId="34" borderId="0" xfId="0" applyFont="1" applyFill="1" applyBorder="1" applyAlignment="1">
      <alignment horizontal="center" vertical="center"/>
    </xf>
    <xf numFmtId="1" fontId="2" fillId="34" borderId="0" xfId="0" applyNumberFormat="1" applyFont="1" applyFill="1" applyBorder="1" applyAlignment="1">
      <alignment horizontal="center" vertical="center"/>
    </xf>
    <xf numFmtId="1" fontId="2" fillId="34" borderId="0" xfId="0" applyNumberFormat="1" applyFont="1" applyFill="1" applyBorder="1" applyAlignment="1">
      <alignment horizontal="center"/>
    </xf>
    <xf numFmtId="0" fontId="2" fillId="34" borderId="26" xfId="0" applyFont="1" applyFill="1" applyBorder="1" applyAlignment="1">
      <alignment horizontal="center"/>
    </xf>
    <xf numFmtId="0" fontId="0" fillId="34" borderId="0" xfId="0" applyFill="1" applyAlignment="1">
      <alignment vertical="center"/>
    </xf>
    <xf numFmtId="165" fontId="5" fillId="34" borderId="19" xfId="0" applyNumberFormat="1" applyFont="1" applyFill="1" applyBorder="1" applyAlignment="1">
      <alignment horizontal="center" vertical="center"/>
    </xf>
    <xf numFmtId="0" fontId="2" fillId="0" borderId="27" xfId="0" applyFont="1" applyBorder="1" applyAlignment="1">
      <alignment/>
    </xf>
    <xf numFmtId="0" fontId="2" fillId="0" borderId="0" xfId="0" applyFont="1" applyBorder="1" applyAlignment="1">
      <alignment/>
    </xf>
    <xf numFmtId="0" fontId="16" fillId="36" borderId="13" xfId="0" applyFont="1" applyFill="1" applyBorder="1" applyAlignment="1">
      <alignment horizontal="center"/>
    </xf>
    <xf numFmtId="9" fontId="16" fillId="36" borderId="26" xfId="0" applyNumberFormat="1" applyFont="1" applyFill="1" applyBorder="1" applyAlignment="1">
      <alignment horizontal="center"/>
    </xf>
    <xf numFmtId="49" fontId="2" fillId="34" borderId="26" xfId="0" applyNumberFormat="1" applyFont="1" applyFill="1" applyBorder="1" applyAlignment="1">
      <alignment horizontal="center" vertical="center"/>
    </xf>
    <xf numFmtId="0" fontId="0" fillId="34" borderId="0" xfId="0" applyFill="1" applyBorder="1" applyAlignment="1">
      <alignment horizontal="center"/>
    </xf>
    <xf numFmtId="3" fontId="0" fillId="34" borderId="0" xfId="0" applyNumberFormat="1" applyFill="1" applyBorder="1" applyAlignment="1">
      <alignment horizontal="center"/>
    </xf>
    <xf numFmtId="168" fontId="2" fillId="33" borderId="17" xfId="0" applyNumberFormat="1" applyFont="1" applyFill="1" applyBorder="1" applyAlignment="1">
      <alignment horizontal="center"/>
    </xf>
    <xf numFmtId="168" fontId="2" fillId="33" borderId="0" xfId="0" applyNumberFormat="1" applyFont="1" applyFill="1" applyBorder="1" applyAlignment="1">
      <alignment horizontal="center" vertical="center"/>
    </xf>
    <xf numFmtId="168" fontId="2" fillId="33" borderId="11" xfId="0" applyNumberFormat="1" applyFont="1" applyFill="1" applyBorder="1" applyAlignment="1">
      <alignment horizontal="center" vertical="center"/>
    </xf>
    <xf numFmtId="0" fontId="16" fillId="36" borderId="22" xfId="0" applyFont="1" applyFill="1" applyBorder="1" applyAlignment="1">
      <alignment horizontal="center" wrapText="1"/>
    </xf>
    <xf numFmtId="3" fontId="2" fillId="33" borderId="22" xfId="0" applyNumberFormat="1" applyFont="1" applyFill="1" applyBorder="1" applyAlignment="1">
      <alignment horizontal="center" wrapText="1"/>
    </xf>
    <xf numFmtId="3" fontId="2" fillId="33" borderId="15" xfId="0" applyNumberFormat="1" applyFont="1" applyFill="1" applyBorder="1" applyAlignment="1">
      <alignment horizontal="center" wrapText="1"/>
    </xf>
    <xf numFmtId="3" fontId="2" fillId="33" borderId="39" xfId="0" applyNumberFormat="1" applyFont="1" applyFill="1" applyBorder="1" applyAlignment="1">
      <alignment horizontal="center" wrapText="1"/>
    </xf>
    <xf numFmtId="0" fontId="2" fillId="33" borderId="22" xfId="0" applyFont="1" applyFill="1" applyBorder="1" applyAlignment="1">
      <alignment horizontal="center" vertical="center"/>
    </xf>
    <xf numFmtId="168" fontId="2" fillId="33" borderId="17" xfId="0" applyNumberFormat="1" applyFont="1" applyFill="1" applyBorder="1" applyAlignment="1">
      <alignment horizontal="center" vertical="center"/>
    </xf>
    <xf numFmtId="0" fontId="2" fillId="34" borderId="41" xfId="0" applyFont="1" applyFill="1" applyBorder="1" applyAlignment="1">
      <alignment horizontal="left" vertical="center" indent="1"/>
    </xf>
    <xf numFmtId="0" fontId="2" fillId="34" borderId="40" xfId="0" applyFont="1" applyFill="1" applyBorder="1" applyAlignment="1">
      <alignment horizontal="left" vertical="center" indent="1"/>
    </xf>
    <xf numFmtId="0" fontId="2" fillId="34" borderId="21" xfId="0" applyFont="1" applyFill="1" applyBorder="1" applyAlignment="1">
      <alignment horizontal="left" vertical="center" indent="1"/>
    </xf>
    <xf numFmtId="0" fontId="17" fillId="37" borderId="22" xfId="0" applyFont="1" applyFill="1" applyBorder="1" applyAlignment="1">
      <alignment horizontal="center" wrapText="1"/>
    </xf>
    <xf numFmtId="0" fontId="2" fillId="34" borderId="27" xfId="0" applyFont="1" applyFill="1" applyBorder="1" applyAlignment="1">
      <alignment wrapText="1"/>
    </xf>
    <xf numFmtId="0" fontId="2" fillId="34" borderId="0" xfId="0" applyFont="1" applyFill="1" applyBorder="1" applyAlignment="1">
      <alignment wrapText="1"/>
    </xf>
    <xf numFmtId="0" fontId="16" fillId="36" borderId="28" xfId="0" applyFont="1" applyFill="1" applyBorder="1" applyAlignment="1">
      <alignment horizontal="center"/>
    </xf>
    <xf numFmtId="0" fontId="78" fillId="34" borderId="21" xfId="0" applyFont="1" applyFill="1" applyBorder="1" applyAlignment="1">
      <alignment horizontal="center" wrapText="1"/>
    </xf>
    <xf numFmtId="0" fontId="78" fillId="0" borderId="13" xfId="0" applyFont="1" applyBorder="1" applyAlignment="1">
      <alignment horizontal="center" vertical="center" wrapText="1"/>
    </xf>
    <xf numFmtId="0" fontId="78" fillId="34" borderId="13" xfId="0" applyFont="1" applyFill="1" applyBorder="1" applyAlignment="1">
      <alignment horizontal="center" wrapText="1"/>
    </xf>
    <xf numFmtId="0" fontId="78" fillId="34" borderId="21" xfId="0" applyFont="1" applyFill="1" applyBorder="1" applyAlignment="1">
      <alignment horizontal="center"/>
    </xf>
    <xf numFmtId="0" fontId="78" fillId="0" borderId="13" xfId="0" applyFont="1" applyBorder="1" applyAlignment="1" quotePrefix="1">
      <alignment horizontal="center" vertical="center"/>
    </xf>
    <xf numFmtId="3" fontId="78" fillId="0" borderId="13" xfId="0" applyNumberFormat="1" applyFont="1" applyBorder="1" applyAlignment="1">
      <alignment horizontal="center" vertical="center"/>
    </xf>
    <xf numFmtId="3" fontId="78" fillId="34" borderId="13" xfId="0" applyNumberFormat="1" applyFont="1" applyFill="1" applyBorder="1" applyAlignment="1">
      <alignment horizontal="center"/>
    </xf>
    <xf numFmtId="0" fontId="3" fillId="0" borderId="0" xfId="0" applyFont="1" applyBorder="1" applyAlignment="1">
      <alignment horizontal="center" vertical="center" wrapText="1"/>
    </xf>
    <xf numFmtId="0" fontId="0" fillId="0" borderId="0" xfId="0" applyBorder="1" applyAlignment="1" quotePrefix="1">
      <alignment horizontal="center" vertical="center"/>
    </xf>
    <xf numFmtId="0" fontId="0" fillId="0" borderId="0" xfId="0" applyFont="1" applyBorder="1" applyAlignment="1" quotePrefix="1">
      <alignment horizontal="center" vertical="center"/>
    </xf>
    <xf numFmtId="0" fontId="16" fillId="36" borderId="42" xfId="0" applyFont="1" applyFill="1" applyBorder="1" applyAlignment="1">
      <alignment horizontal="center"/>
    </xf>
    <xf numFmtId="0" fontId="16" fillId="33" borderId="42" xfId="0" applyFont="1" applyFill="1" applyBorder="1" applyAlignment="1">
      <alignment horizontal="center"/>
    </xf>
    <xf numFmtId="0" fontId="16" fillId="33" borderId="27" xfId="0" applyFont="1" applyFill="1" applyBorder="1" applyAlignment="1">
      <alignment horizontal="center" vertical="center"/>
    </xf>
    <xf numFmtId="0" fontId="16" fillId="33" borderId="43" xfId="0" applyFont="1" applyFill="1" applyBorder="1" applyAlignment="1">
      <alignment horizontal="center" vertical="center"/>
    </xf>
    <xf numFmtId="0" fontId="16" fillId="33" borderId="42" xfId="0" applyFont="1" applyFill="1" applyBorder="1" applyAlignment="1">
      <alignment horizontal="center" vertical="center"/>
    </xf>
    <xf numFmtId="10" fontId="0" fillId="0" borderId="0" xfId="0" applyNumberFormat="1" applyAlignment="1">
      <alignment vertical="center"/>
    </xf>
    <xf numFmtId="9" fontId="0" fillId="0" borderId="0" xfId="57" applyFont="1" applyAlignment="1">
      <alignment horizontal="center" vertical="center"/>
    </xf>
    <xf numFmtId="3" fontId="0" fillId="0" borderId="0" xfId="0" applyNumberFormat="1" applyBorder="1" applyAlignment="1">
      <alignment horizontal="center" vertical="center"/>
    </xf>
    <xf numFmtId="0" fontId="3" fillId="0" borderId="0" xfId="0" applyFont="1" applyBorder="1" applyAlignment="1">
      <alignment horizontal="center" wrapText="1"/>
    </xf>
    <xf numFmtId="0" fontId="72" fillId="0" borderId="0" xfId="0" applyFont="1" applyBorder="1" applyAlignment="1">
      <alignment horizontal="center" vertical="center" wrapText="1"/>
    </xf>
    <xf numFmtId="0" fontId="16" fillId="0" borderId="27" xfId="0" applyFont="1" applyBorder="1" applyAlignment="1">
      <alignment horizontal="center" vertical="center"/>
    </xf>
    <xf numFmtId="0" fontId="16" fillId="0" borderId="0" xfId="0" applyFont="1" applyBorder="1" applyAlignment="1">
      <alignment horizontal="center" vertical="center"/>
    </xf>
    <xf numFmtId="0" fontId="16" fillId="0" borderId="26" xfId="0" applyFont="1" applyBorder="1" applyAlignment="1">
      <alignment horizontal="center" vertical="center"/>
    </xf>
    <xf numFmtId="0" fontId="25" fillId="40" borderId="41" xfId="0" applyFont="1" applyFill="1" applyBorder="1" applyAlignment="1">
      <alignment horizontal="left" vertical="center" indent="3"/>
    </xf>
    <xf numFmtId="0" fontId="25" fillId="40" borderId="40" xfId="0" applyFont="1" applyFill="1" applyBorder="1" applyAlignment="1">
      <alignment horizontal="left" vertical="center" indent="3"/>
    </xf>
    <xf numFmtId="0" fontId="25" fillId="40" borderId="21" xfId="0" applyFont="1" applyFill="1" applyBorder="1" applyAlignment="1">
      <alignment horizontal="left" vertical="center" indent="3"/>
    </xf>
    <xf numFmtId="0" fontId="2" fillId="33" borderId="13" xfId="0" applyFont="1" applyFill="1" applyBorder="1" applyAlignment="1">
      <alignment horizontal="left" vertical="center" indent="1"/>
    </xf>
    <xf numFmtId="0" fontId="16" fillId="36" borderId="44" xfId="0" applyFont="1" applyFill="1" applyBorder="1" applyAlignment="1">
      <alignment horizontal="center"/>
    </xf>
    <xf numFmtId="0" fontId="16" fillId="36" borderId="21" xfId="0" applyFont="1" applyFill="1" applyBorder="1" applyAlignment="1">
      <alignment horizontal="center"/>
    </xf>
    <xf numFmtId="0" fontId="17" fillId="37" borderId="29" xfId="0" applyFont="1" applyFill="1" applyBorder="1" applyAlignment="1">
      <alignment horizontal="center" wrapText="1"/>
    </xf>
    <xf numFmtId="0" fontId="17" fillId="37" borderId="22" xfId="0" applyFont="1" applyFill="1" applyBorder="1" applyAlignment="1">
      <alignment horizontal="center" wrapText="1"/>
    </xf>
    <xf numFmtId="0" fontId="2" fillId="34" borderId="27" xfId="0" applyFont="1" applyFill="1" applyBorder="1" applyAlignment="1">
      <alignment wrapText="1"/>
    </xf>
    <xf numFmtId="0" fontId="2" fillId="34" borderId="0" xfId="0" applyFont="1" applyFill="1" applyBorder="1" applyAlignment="1">
      <alignment wrapText="1"/>
    </xf>
    <xf numFmtId="0" fontId="2" fillId="34" borderId="26" xfId="0" applyFont="1" applyFill="1" applyBorder="1" applyAlignment="1">
      <alignment wrapText="1"/>
    </xf>
    <xf numFmtId="0" fontId="2" fillId="34" borderId="13" xfId="0" applyFont="1" applyFill="1" applyBorder="1" applyAlignment="1">
      <alignment horizontal="left" vertical="center" indent="1"/>
    </xf>
    <xf numFmtId="0" fontId="16" fillId="36" borderId="13" xfId="0" applyFont="1" applyFill="1" applyBorder="1" applyAlignment="1">
      <alignment horizontal="center"/>
    </xf>
    <xf numFmtId="0" fontId="16" fillId="36" borderId="28" xfId="0" applyFont="1" applyFill="1" applyBorder="1" applyAlignment="1">
      <alignment horizontal="center"/>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2" fillId="34" borderId="41" xfId="0" applyFont="1" applyFill="1" applyBorder="1" applyAlignment="1">
      <alignment horizontal="left" vertical="center" indent="1"/>
    </xf>
    <xf numFmtId="0" fontId="2" fillId="34" borderId="40" xfId="0" applyFont="1" applyFill="1" applyBorder="1" applyAlignment="1">
      <alignment horizontal="left" vertical="center" indent="1"/>
    </xf>
    <xf numFmtId="0" fontId="2" fillId="34" borderId="21" xfId="0" applyFont="1" applyFill="1" applyBorder="1" applyAlignment="1">
      <alignment horizontal="left" vertical="center" indent="1"/>
    </xf>
    <xf numFmtId="165" fontId="5" fillId="33" borderId="13" xfId="42" applyNumberFormat="1" applyFont="1" applyFill="1" applyBorder="1" applyAlignment="1">
      <alignment horizontal="center" vertical="center"/>
    </xf>
    <xf numFmtId="0" fontId="5" fillId="33" borderId="14" xfId="0" applyFont="1" applyFill="1" applyBorder="1" applyAlignment="1">
      <alignment vertical="center"/>
    </xf>
    <xf numFmtId="0" fontId="5" fillId="34" borderId="0" xfId="0" applyFont="1" applyFill="1" applyBorder="1" applyAlignment="1">
      <alignment vertical="center"/>
    </xf>
    <xf numFmtId="164" fontId="5" fillId="33" borderId="41" xfId="42" applyNumberFormat="1" applyFont="1" applyFill="1" applyBorder="1" applyAlignment="1">
      <alignment horizontal="center" vertical="center"/>
    </xf>
    <xf numFmtId="164" fontId="5" fillId="33" borderId="21" xfId="42" applyNumberFormat="1" applyFont="1" applyFill="1" applyBorder="1" applyAlignment="1">
      <alignment horizontal="center" vertical="center"/>
    </xf>
    <xf numFmtId="165" fontId="5" fillId="33" borderId="41" xfId="42" applyNumberFormat="1" applyFont="1" applyFill="1" applyBorder="1" applyAlignment="1">
      <alignment horizontal="center" vertical="center"/>
    </xf>
    <xf numFmtId="165" fontId="5" fillId="33" borderId="21" xfId="42" applyNumberFormat="1" applyFont="1" applyFill="1" applyBorder="1" applyAlignment="1">
      <alignment horizontal="center" vertical="center"/>
    </xf>
    <xf numFmtId="0" fontId="2" fillId="0" borderId="45" xfId="0" applyFont="1" applyBorder="1" applyAlignment="1">
      <alignment vertical="center" wrapText="1"/>
    </xf>
    <xf numFmtId="0" fontId="2" fillId="0" borderId="46" xfId="0" applyFont="1" applyBorder="1" applyAlignment="1">
      <alignment vertical="center"/>
    </xf>
    <xf numFmtId="0" fontId="2" fillId="0" borderId="47" xfId="0" applyFont="1" applyBorder="1" applyAlignment="1">
      <alignment vertical="center"/>
    </xf>
    <xf numFmtId="0" fontId="2" fillId="0" borderId="0" xfId="0" applyFont="1" applyBorder="1" applyAlignment="1">
      <alignment vertical="center"/>
    </xf>
    <xf numFmtId="0" fontId="79" fillId="33" borderId="47" xfId="0" applyFont="1" applyFill="1" applyBorder="1" applyAlignment="1">
      <alignment horizontal="center" vertical="center"/>
    </xf>
    <xf numFmtId="0" fontId="79"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33" borderId="14" xfId="0" applyFont="1" applyFill="1" applyBorder="1" applyAlignment="1">
      <alignment horizontal="left" vertical="center" wrapText="1"/>
    </xf>
    <xf numFmtId="0" fontId="5" fillId="33" borderId="0" xfId="0" applyFont="1" applyFill="1" applyBorder="1" applyAlignment="1">
      <alignment horizontal="left" vertical="center"/>
    </xf>
    <xf numFmtId="0" fontId="10" fillId="41" borderId="41" xfId="0" applyFont="1" applyFill="1" applyBorder="1" applyAlignment="1">
      <alignment horizontal="center" vertical="center"/>
    </xf>
    <xf numFmtId="0" fontId="10" fillId="41" borderId="40" xfId="0" applyFont="1" applyFill="1" applyBorder="1" applyAlignment="1">
      <alignment horizontal="center" vertical="center"/>
    </xf>
    <xf numFmtId="0" fontId="10" fillId="41" borderId="21" xfId="0" applyFont="1" applyFill="1" applyBorder="1" applyAlignment="1">
      <alignment horizontal="center" vertical="center"/>
    </xf>
    <xf numFmtId="0" fontId="4" fillId="34" borderId="14" xfId="0" applyFont="1" applyFill="1" applyBorder="1" applyAlignment="1">
      <alignment vertical="center"/>
    </xf>
    <xf numFmtId="0" fontId="4" fillId="33" borderId="0" xfId="0" applyFont="1" applyFill="1" applyBorder="1" applyAlignment="1">
      <alignment vertical="center"/>
    </xf>
    <xf numFmtId="0" fontId="80" fillId="35" borderId="41" xfId="0" applyFont="1" applyFill="1" applyBorder="1" applyAlignment="1">
      <alignment horizontal="center" vertical="center"/>
    </xf>
    <xf numFmtId="0" fontId="80" fillId="35" borderId="40" xfId="0" applyFont="1" applyFill="1" applyBorder="1" applyAlignment="1">
      <alignment horizontal="center" vertical="center"/>
    </xf>
    <xf numFmtId="0" fontId="80" fillId="35" borderId="21" xfId="0" applyFont="1" applyFill="1" applyBorder="1" applyAlignment="1">
      <alignment horizontal="center" vertical="center"/>
    </xf>
    <xf numFmtId="0" fontId="74" fillId="35" borderId="13" xfId="0" applyFont="1" applyFill="1" applyBorder="1" applyAlignment="1">
      <alignment horizontal="center" vertical="center" wrapText="1"/>
    </xf>
    <xf numFmtId="5" fontId="5" fillId="33" borderId="0" xfId="42" applyNumberFormat="1" applyFont="1" applyFill="1" applyBorder="1" applyAlignment="1">
      <alignment horizontal="center" vertical="center"/>
    </xf>
    <xf numFmtId="37" fontId="5" fillId="40" borderId="13" xfId="42" applyNumberFormat="1" applyFont="1" applyFill="1" applyBorder="1" applyAlignment="1">
      <alignment horizontal="center" vertical="center"/>
    </xf>
    <xf numFmtId="0" fontId="75" fillId="35" borderId="13" xfId="0" applyFont="1" applyFill="1" applyBorder="1" applyAlignment="1">
      <alignment horizontal="center" vertical="center"/>
    </xf>
    <xf numFmtId="5" fontId="5" fillId="40" borderId="13" xfId="42" applyNumberFormat="1" applyFont="1" applyFill="1" applyBorder="1" applyAlignment="1">
      <alignment horizontal="center" vertical="center"/>
    </xf>
    <xf numFmtId="37" fontId="5" fillId="33" borderId="41" xfId="42" applyNumberFormat="1" applyFont="1" applyFill="1" applyBorder="1" applyAlignment="1">
      <alignment horizontal="center" vertical="center"/>
    </xf>
    <xf numFmtId="5" fontId="4" fillId="40" borderId="41" xfId="44" applyNumberFormat="1" applyFont="1" applyFill="1" applyBorder="1" applyAlignment="1">
      <alignment horizontal="center" vertical="center"/>
    </xf>
    <xf numFmtId="5" fontId="4" fillId="40" borderId="21" xfId="44" applyNumberFormat="1" applyFont="1" applyFill="1" applyBorder="1" applyAlignment="1">
      <alignment horizontal="center" vertical="center"/>
    </xf>
    <xf numFmtId="168" fontId="5" fillId="34" borderId="41" xfId="0" applyNumberFormat="1" applyFont="1" applyFill="1" applyBorder="1" applyAlignment="1">
      <alignment horizontal="center" vertical="center"/>
    </xf>
    <xf numFmtId="168" fontId="5" fillId="34" borderId="21" xfId="0" applyNumberFormat="1" applyFont="1" applyFill="1" applyBorder="1" applyAlignment="1">
      <alignment horizontal="center" vertical="center"/>
    </xf>
    <xf numFmtId="166" fontId="9" fillId="34" borderId="41" xfId="44" applyNumberFormat="1" applyFont="1" applyFill="1" applyBorder="1" applyAlignment="1">
      <alignment horizontal="center" vertical="center"/>
    </xf>
    <xf numFmtId="166" fontId="9" fillId="34" borderId="21" xfId="44" applyNumberFormat="1" applyFont="1" applyFill="1" applyBorder="1" applyAlignment="1">
      <alignment horizontal="center" vertical="center"/>
    </xf>
    <xf numFmtId="5" fontId="5" fillId="33" borderId="41" xfId="42" applyNumberFormat="1" applyFont="1" applyFill="1" applyBorder="1" applyAlignment="1">
      <alignment horizontal="center" vertical="center"/>
    </xf>
    <xf numFmtId="165"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3" borderId="19" xfId="0" applyFont="1" applyFill="1" applyBorder="1" applyAlignment="1">
      <alignment horizontal="center" vertical="center"/>
    </xf>
    <xf numFmtId="5" fontId="4" fillId="42" borderId="41" xfId="44" applyNumberFormat="1" applyFont="1" applyFill="1" applyBorder="1" applyAlignment="1">
      <alignment horizontal="center" vertical="center"/>
    </xf>
    <xf numFmtId="5" fontId="4" fillId="42" borderId="21" xfId="44" applyNumberFormat="1" applyFont="1" applyFill="1" applyBorder="1" applyAlignment="1">
      <alignment horizontal="center" vertical="center"/>
    </xf>
    <xf numFmtId="5" fontId="4" fillId="34" borderId="41" xfId="44" applyNumberFormat="1" applyFont="1" applyFill="1" applyBorder="1" applyAlignment="1">
      <alignment horizontal="center" vertical="center"/>
    </xf>
    <xf numFmtId="5" fontId="4" fillId="34" borderId="21" xfId="44" applyNumberFormat="1"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4" fillId="39" borderId="41" xfId="0" applyFont="1" applyFill="1" applyBorder="1" applyAlignment="1">
      <alignment horizontal="center" vertical="center"/>
    </xf>
    <xf numFmtId="0" fontId="4" fillId="39" borderId="40" xfId="0" applyFont="1" applyFill="1" applyBorder="1" applyAlignment="1">
      <alignment horizontal="center" vertical="center"/>
    </xf>
    <xf numFmtId="0" fontId="4" fillId="39" borderId="21" xfId="0" applyFont="1" applyFill="1" applyBorder="1" applyAlignment="1">
      <alignment horizontal="center" vertical="center"/>
    </xf>
    <xf numFmtId="166" fontId="9" fillId="39" borderId="40" xfId="44" applyNumberFormat="1" applyFont="1" applyFill="1" applyBorder="1" applyAlignment="1">
      <alignment horizontal="center" vertical="center"/>
    </xf>
    <xf numFmtId="166" fontId="9" fillId="39" borderId="21" xfId="44" applyNumberFormat="1" applyFont="1" applyFill="1" applyBorder="1" applyAlignment="1">
      <alignment horizontal="center" vertical="center"/>
    </xf>
    <xf numFmtId="165" fontId="7" fillId="0" borderId="41" xfId="0" applyNumberFormat="1" applyFont="1" applyBorder="1" applyAlignment="1">
      <alignment horizontal="center" vertical="center"/>
    </xf>
    <xf numFmtId="165" fontId="7" fillId="0" borderId="21" xfId="0" applyNumberFormat="1" applyFont="1" applyBorder="1" applyAlignment="1">
      <alignment horizontal="center" vertical="center"/>
    </xf>
    <xf numFmtId="0" fontId="4" fillId="33" borderId="14" xfId="0" applyFont="1" applyFill="1" applyBorder="1" applyAlignment="1">
      <alignment horizontal="right" vertical="center" wrapText="1"/>
    </xf>
    <xf numFmtId="0" fontId="4" fillId="33" borderId="0" xfId="0" applyFont="1" applyFill="1" applyBorder="1" applyAlignment="1">
      <alignment horizontal="right" vertical="center" wrapText="1"/>
    </xf>
    <xf numFmtId="6" fontId="5" fillId="33" borderId="41" xfId="0" applyNumberFormat="1" applyFont="1" applyFill="1" applyBorder="1" applyAlignment="1">
      <alignment horizontal="center" vertical="center"/>
    </xf>
    <xf numFmtId="6" fontId="5" fillId="33" borderId="21" xfId="0" applyNumberFormat="1" applyFont="1" applyFill="1" applyBorder="1" applyAlignment="1">
      <alignment horizontal="center" vertical="center"/>
    </xf>
    <xf numFmtId="165" fontId="80" fillId="35" borderId="13" xfId="0" applyNumberFormat="1" applyFont="1" applyFill="1" applyBorder="1" applyAlignment="1">
      <alignment horizontal="center" vertical="center"/>
    </xf>
    <xf numFmtId="6" fontId="5" fillId="33" borderId="13" xfId="0" applyNumberFormat="1" applyFont="1" applyFill="1" applyBorder="1" applyAlignment="1">
      <alignment horizontal="center" vertical="center"/>
    </xf>
    <xf numFmtId="6" fontId="4" fillId="42" borderId="13" xfId="0" applyNumberFormat="1" applyFont="1" applyFill="1" applyBorder="1" applyAlignment="1">
      <alignment horizontal="center" vertical="center"/>
    </xf>
    <xf numFmtId="5" fontId="7" fillId="0" borderId="41" xfId="0" applyNumberFormat="1" applyFont="1" applyBorder="1" applyAlignment="1">
      <alignment horizontal="center" vertical="center"/>
    </xf>
    <xf numFmtId="5" fontId="7" fillId="0" borderId="21"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993366"/>
      <rgbColor rgb="00FFFFCC"/>
      <rgbColor rgb="00CCFFFF"/>
      <rgbColor rgb="00660066"/>
      <rgbColor rgb="00FF8080"/>
      <rgbColor rgb="000066CC"/>
      <rgbColor rgb="00CCFFCC"/>
      <rgbColor rgb="00000080"/>
      <rgbColor rgb="00FF00FF"/>
      <rgbColor rgb="00FFFF00"/>
      <rgbColor rgb="0000FFFF"/>
      <rgbColor rgb="00800080"/>
      <rgbColor rgb="00800000"/>
      <rgbColor rgb="00008080"/>
      <rgbColor rgb="000000FF"/>
      <rgbColor rgb="0000CCFF"/>
      <rgbColor rgb="00CCFFFF"/>
      <rgbColor rgb="00CCFFCC"/>
      <rgbColor rgb="00FFFF99"/>
      <rgbColor rgb="00CCFFCC"/>
      <rgbColor rgb="00CCFF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Annual ROI</a:t>
            </a:r>
          </a:p>
        </c:rich>
      </c:tx>
      <c:layout/>
      <c:spPr>
        <a:noFill/>
        <a:ln w="3175">
          <a:noFill/>
        </a:ln>
      </c:spPr>
    </c:title>
    <c:plotArea>
      <c:layout/>
      <c:barChart>
        <c:barDir val="col"/>
        <c:grouping val="clustered"/>
        <c:varyColors val="0"/>
        <c:ser>
          <c:idx val="0"/>
          <c:order val="0"/>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25634680"/>
        <c:axId val="29385529"/>
      </c:barChart>
      <c:catAx>
        <c:axId val="256346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29385529"/>
        <c:crosses val="autoZero"/>
        <c:auto val="1"/>
        <c:lblOffset val="100"/>
        <c:tickLblSkip val="1"/>
        <c:noMultiLvlLbl val="0"/>
      </c:catAx>
      <c:valAx>
        <c:axId val="29385529"/>
        <c:scaling>
          <c:orientation val="minMax"/>
          <c:min val="-200000"/>
        </c:scaling>
        <c:axPos val="l"/>
        <c:majorGridlines>
          <c:spPr>
            <a:ln w="3175">
              <a:solidFill>
                <a:srgbClr val="000000"/>
              </a:solidFill>
            </a:ln>
          </c:spPr>
        </c:majorGridlines>
        <c:delete val="0"/>
        <c:numFmt formatCode="\$#,##0_);\(\$#,##0\)" sourceLinked="0"/>
        <c:majorTickMark val="out"/>
        <c:minorTickMark val="none"/>
        <c:tickLblPos val="nextTo"/>
        <c:spPr>
          <a:ln w="3175">
            <a:solidFill>
              <a:srgbClr val="000000"/>
            </a:solidFill>
          </a:ln>
        </c:spPr>
        <c:crossAx val="25634680"/>
        <c:crossesAt val="1"/>
        <c:crossBetween val="between"/>
        <c:dispUnits/>
        <c:minorUnit val="25000"/>
      </c:valAx>
      <c:spPr>
        <a:solidFill>
          <a:srgbClr val="CCFFCC"/>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Annual ROI</a:t>
            </a:r>
          </a:p>
        </c:rich>
      </c:tx>
      <c:layout/>
      <c:spPr>
        <a:noFill/>
        <a:ln w="3175">
          <a:noFill/>
        </a:ln>
      </c:spPr>
    </c:title>
    <c:plotArea>
      <c:layout/>
      <c:barChart>
        <c:barDir val="col"/>
        <c:grouping val="clustered"/>
        <c:varyColors val="0"/>
        <c:ser>
          <c:idx val="0"/>
          <c:order val="0"/>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63143170"/>
        <c:axId val="31417619"/>
      </c:barChart>
      <c:catAx>
        <c:axId val="631431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31417619"/>
        <c:crosses val="autoZero"/>
        <c:auto val="1"/>
        <c:lblOffset val="100"/>
        <c:tickLblSkip val="1"/>
        <c:noMultiLvlLbl val="0"/>
      </c:catAx>
      <c:valAx>
        <c:axId val="31417619"/>
        <c:scaling>
          <c:orientation val="minMax"/>
          <c:min val="-200000"/>
        </c:scaling>
        <c:axPos val="l"/>
        <c:majorGridlines>
          <c:spPr>
            <a:ln w="3175">
              <a:solidFill>
                <a:srgbClr val="000000"/>
              </a:solidFill>
            </a:ln>
          </c:spPr>
        </c:majorGridlines>
        <c:delete val="0"/>
        <c:numFmt formatCode="\$#,##0_);\(\$#,##0\)" sourceLinked="0"/>
        <c:majorTickMark val="out"/>
        <c:minorTickMark val="none"/>
        <c:tickLblPos val="nextTo"/>
        <c:spPr>
          <a:ln w="3175">
            <a:solidFill>
              <a:srgbClr val="000000"/>
            </a:solidFill>
          </a:ln>
        </c:spPr>
        <c:crossAx val="63143170"/>
        <c:crossesAt val="1"/>
        <c:crossBetween val="between"/>
        <c:dispUnits/>
        <c:minorUnit val="25000"/>
      </c:valAx>
      <c:spPr>
        <a:solidFill>
          <a:srgbClr val="CCFFCC"/>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Total Cost of Ownership Comparison</a:t>
            </a:r>
          </a:p>
        </c:rich>
      </c:tx>
      <c:layout>
        <c:manualLayout>
          <c:xMode val="factor"/>
          <c:yMode val="factor"/>
          <c:x val="-0.00225"/>
          <c:y val="-0.01025"/>
        </c:manualLayout>
      </c:layout>
      <c:spPr>
        <a:noFill/>
        <a:ln w="3175">
          <a:noFill/>
        </a:ln>
      </c:spPr>
    </c:title>
    <c:plotArea>
      <c:layout>
        <c:manualLayout>
          <c:xMode val="edge"/>
          <c:yMode val="edge"/>
          <c:x val="0.07175"/>
          <c:y val="0.079"/>
          <c:w val="0.705"/>
          <c:h val="0.94475"/>
        </c:manualLayout>
      </c:layout>
      <c:barChart>
        <c:barDir val="col"/>
        <c:grouping val="stacked"/>
        <c:varyColors val="0"/>
        <c:ser>
          <c:idx val="0"/>
          <c:order val="0"/>
          <c:tx>
            <c:strRef>
              <c:f>'Total Cost of Ownership Summary'!$B$34</c:f>
              <c:strCache>
                <c:ptCount val="1"/>
                <c:pt idx="0">
                  <c:v>Net Investment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'Total Cost of Ownership Summary'!$C$30:$D$30</c:f>
              <c:strCache/>
            </c:strRef>
          </c:cat>
          <c:val>
            <c:numRef>
              <c:f>'Total Cost of Ownership Summary'!$C$34:$D$34</c:f>
              <c:numCache/>
            </c:numRef>
          </c:val>
        </c:ser>
        <c:ser>
          <c:idx val="1"/>
          <c:order val="1"/>
          <c:tx>
            <c:strRef>
              <c:f>'Total Cost of Ownership Summary'!$B$35</c:f>
              <c:strCache>
                <c:ptCount val="1"/>
                <c:pt idx="0">
                  <c:v>Total Lighting Energy Costs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'Total Cost of Ownership Summary'!$C$30:$D$30</c:f>
              <c:strCache/>
            </c:strRef>
          </c:cat>
          <c:val>
            <c:numRef>
              <c:f>'Total Cost of Ownership Summary'!$C$35:$D$35</c:f>
              <c:numCache/>
            </c:numRef>
          </c:val>
        </c:ser>
        <c:ser>
          <c:idx val="2"/>
          <c:order val="2"/>
          <c:tx>
            <c:strRef>
              <c:f>'Total Cost of Ownership Summary'!$B$37</c:f>
              <c:strCache>
                <c:ptCount val="1"/>
                <c:pt idx="0">
                  <c:v>Total Maintenance Costs</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'Total Cost of Ownership Summary'!$C$30:$D$30</c:f>
              <c:strCache/>
            </c:strRef>
          </c:cat>
          <c:val>
            <c:numRef>
              <c:f>'Total Cost of Ownership Summary'!$C$37:$D$37</c:f>
              <c:numCache/>
            </c:numRef>
          </c:val>
        </c:ser>
        <c:ser>
          <c:idx val="3"/>
          <c:order val="3"/>
          <c:tx>
            <c:strRef>
              <c:f>'Total Cost of Ownership Summary'!$B$36</c:f>
              <c:strCache>
                <c:ptCount val="1"/>
                <c:pt idx="0">
                  <c:v>Incremental Air Cooling Energy Costs</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'Total Cost of Ownership Summary'!$C$36:$D$36</c:f>
              <c:numCache/>
            </c:numRef>
          </c:val>
        </c:ser>
        <c:overlap val="100"/>
        <c:gapWidth val="75"/>
        <c:axId val="14323116"/>
        <c:axId val="61799181"/>
      </c:barChart>
      <c:catAx>
        <c:axId val="143231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61799181"/>
        <c:crosses val="autoZero"/>
        <c:auto val="1"/>
        <c:lblOffset val="100"/>
        <c:tickLblSkip val="1"/>
        <c:noMultiLvlLbl val="0"/>
      </c:catAx>
      <c:valAx>
        <c:axId val="617991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23116"/>
        <c:crossesAt val="1"/>
        <c:crossBetween val="between"/>
        <c:dispUnits/>
      </c:valAx>
      <c:spPr>
        <a:solidFill>
          <a:srgbClr val="FFFFFF"/>
        </a:solidFill>
        <a:ln w="3175">
          <a:noFill/>
        </a:ln>
      </c:spPr>
    </c:plotArea>
    <c:legend>
      <c:legendPos val="r"/>
      <c:layout>
        <c:manualLayout>
          <c:xMode val="edge"/>
          <c:yMode val="edge"/>
          <c:x val="0.789"/>
          <c:y val="0.12925"/>
          <c:w val="0.20775"/>
          <c:h val="0.58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4.png" /><Relationship Id="rId5" Type="http://schemas.openxmlformats.org/officeDocument/2006/relationships/image" Target="../media/image2.jpeg" /><Relationship Id="rId6"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1</xdr:col>
      <xdr:colOff>495300</xdr:colOff>
      <xdr:row>3</xdr:row>
      <xdr:rowOff>19050</xdr:rowOff>
    </xdr:to>
    <xdr:pic>
      <xdr:nvPicPr>
        <xdr:cNvPr id="1" name="Picture 5"/>
        <xdr:cNvPicPr preferRelativeResize="1">
          <a:picLocks noChangeAspect="1"/>
        </xdr:cNvPicPr>
      </xdr:nvPicPr>
      <xdr:blipFill>
        <a:blip r:embed="rId1"/>
        <a:stretch>
          <a:fillRect/>
        </a:stretch>
      </xdr:blipFill>
      <xdr:spPr>
        <a:xfrm>
          <a:off x="161925" y="47625"/>
          <a:ext cx="457200" cy="400050"/>
        </a:xfrm>
        <a:prstGeom prst="rect">
          <a:avLst/>
        </a:prstGeom>
        <a:noFill/>
        <a:ln w="1" cmpd="sng">
          <a:noFill/>
        </a:ln>
      </xdr:spPr>
    </xdr:pic>
    <xdr:clientData/>
  </xdr:twoCellAnchor>
  <xdr:twoCellAnchor editAs="oneCell">
    <xdr:from>
      <xdr:col>7</xdr:col>
      <xdr:colOff>142875</xdr:colOff>
      <xdr:row>0</xdr:row>
      <xdr:rowOff>28575</xdr:rowOff>
    </xdr:from>
    <xdr:to>
      <xdr:col>8</xdr:col>
      <xdr:colOff>1638300</xdr:colOff>
      <xdr:row>3</xdr:row>
      <xdr:rowOff>0</xdr:rowOff>
    </xdr:to>
    <xdr:pic>
      <xdr:nvPicPr>
        <xdr:cNvPr id="2" name="Picture 4"/>
        <xdr:cNvPicPr preferRelativeResize="1">
          <a:picLocks noChangeAspect="1"/>
        </xdr:cNvPicPr>
      </xdr:nvPicPr>
      <xdr:blipFill>
        <a:blip r:embed="rId2"/>
        <a:stretch>
          <a:fillRect/>
        </a:stretch>
      </xdr:blipFill>
      <xdr:spPr>
        <a:xfrm>
          <a:off x="6438900" y="28575"/>
          <a:ext cx="1714500" cy="400050"/>
        </a:xfrm>
        <a:prstGeom prst="rect">
          <a:avLst/>
        </a:prstGeom>
        <a:noFill/>
        <a:ln w="9525" cmpd="sng">
          <a:noFill/>
        </a:ln>
      </xdr:spPr>
    </xdr:pic>
    <xdr:clientData/>
  </xdr:twoCellAnchor>
  <xdr:twoCellAnchor editAs="oneCell">
    <xdr:from>
      <xdr:col>1</xdr:col>
      <xdr:colOff>733425</xdr:colOff>
      <xdr:row>0</xdr:row>
      <xdr:rowOff>19050</xdr:rowOff>
    </xdr:from>
    <xdr:to>
      <xdr:col>2</xdr:col>
      <xdr:colOff>1314450</xdr:colOff>
      <xdr:row>3</xdr:row>
      <xdr:rowOff>38100</xdr:rowOff>
    </xdr:to>
    <xdr:pic>
      <xdr:nvPicPr>
        <xdr:cNvPr id="3" name="Picture 1"/>
        <xdr:cNvPicPr preferRelativeResize="1">
          <a:picLocks noChangeAspect="1"/>
        </xdr:cNvPicPr>
      </xdr:nvPicPr>
      <xdr:blipFill>
        <a:blip r:embed="rId3"/>
        <a:stretch>
          <a:fillRect/>
        </a:stretch>
      </xdr:blipFill>
      <xdr:spPr>
        <a:xfrm>
          <a:off x="857250" y="19050"/>
          <a:ext cx="15240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8</xdr:col>
      <xdr:colOff>542925</xdr:colOff>
      <xdr:row>56</xdr:row>
      <xdr:rowOff>0</xdr:rowOff>
    </xdr:to>
    <xdr:graphicFrame>
      <xdr:nvGraphicFramePr>
        <xdr:cNvPr id="1" name="Chart 5"/>
        <xdr:cNvGraphicFramePr/>
      </xdr:nvGraphicFramePr>
      <xdr:xfrm>
        <a:off x="0" y="12134850"/>
        <a:ext cx="92011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0</xdr:rowOff>
    </xdr:from>
    <xdr:to>
      <xdr:col>8</xdr:col>
      <xdr:colOff>542925</xdr:colOff>
      <xdr:row>58</xdr:row>
      <xdr:rowOff>0</xdr:rowOff>
    </xdr:to>
    <xdr:graphicFrame>
      <xdr:nvGraphicFramePr>
        <xdr:cNvPr id="2" name="Chart 5"/>
        <xdr:cNvGraphicFramePr/>
      </xdr:nvGraphicFramePr>
      <xdr:xfrm>
        <a:off x="0" y="12563475"/>
        <a:ext cx="9201150" cy="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41</xdr:row>
      <xdr:rowOff>190500</xdr:rowOff>
    </xdr:from>
    <xdr:to>
      <xdr:col>8</xdr:col>
      <xdr:colOff>219075</xdr:colOff>
      <xdr:row>55</xdr:row>
      <xdr:rowOff>152400</xdr:rowOff>
    </xdr:to>
    <xdr:graphicFrame>
      <xdr:nvGraphicFramePr>
        <xdr:cNvPr id="3" name="Chart 6"/>
        <xdr:cNvGraphicFramePr/>
      </xdr:nvGraphicFramePr>
      <xdr:xfrm>
        <a:off x="352425" y="9124950"/>
        <a:ext cx="8524875" cy="28860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47625</xdr:colOff>
      <xdr:row>0</xdr:row>
      <xdr:rowOff>76200</xdr:rowOff>
    </xdr:from>
    <xdr:to>
      <xdr:col>1</xdr:col>
      <xdr:colOff>38100</xdr:colOff>
      <xdr:row>3</xdr:row>
      <xdr:rowOff>95250</xdr:rowOff>
    </xdr:to>
    <xdr:pic>
      <xdr:nvPicPr>
        <xdr:cNvPr id="4" name="Picture 2"/>
        <xdr:cNvPicPr preferRelativeResize="1">
          <a:picLocks noChangeAspect="1"/>
        </xdr:cNvPicPr>
      </xdr:nvPicPr>
      <xdr:blipFill>
        <a:blip r:embed="rId4"/>
        <a:stretch>
          <a:fillRect/>
        </a:stretch>
      </xdr:blipFill>
      <xdr:spPr>
        <a:xfrm>
          <a:off x="47625" y="76200"/>
          <a:ext cx="590550" cy="504825"/>
        </a:xfrm>
        <a:prstGeom prst="rect">
          <a:avLst/>
        </a:prstGeom>
        <a:noFill/>
        <a:ln w="1" cmpd="sng">
          <a:noFill/>
        </a:ln>
      </xdr:spPr>
    </xdr:pic>
    <xdr:clientData/>
  </xdr:twoCellAnchor>
  <xdr:twoCellAnchor editAs="oneCell">
    <xdr:from>
      <xdr:col>6</xdr:col>
      <xdr:colOff>28575</xdr:colOff>
      <xdr:row>0</xdr:row>
      <xdr:rowOff>47625</xdr:rowOff>
    </xdr:from>
    <xdr:to>
      <xdr:col>8</xdr:col>
      <xdr:colOff>209550</xdr:colOff>
      <xdr:row>2</xdr:row>
      <xdr:rowOff>142875</xdr:rowOff>
    </xdr:to>
    <xdr:pic>
      <xdr:nvPicPr>
        <xdr:cNvPr id="5" name="Picture 9"/>
        <xdr:cNvPicPr preferRelativeResize="1">
          <a:picLocks noChangeAspect="1"/>
        </xdr:cNvPicPr>
      </xdr:nvPicPr>
      <xdr:blipFill>
        <a:blip r:embed="rId5"/>
        <a:stretch>
          <a:fillRect/>
        </a:stretch>
      </xdr:blipFill>
      <xdr:spPr>
        <a:xfrm>
          <a:off x="7048500" y="47625"/>
          <a:ext cx="1819275" cy="419100"/>
        </a:xfrm>
        <a:prstGeom prst="rect">
          <a:avLst/>
        </a:prstGeom>
        <a:noFill/>
        <a:ln w="9525" cmpd="sng">
          <a:noFill/>
        </a:ln>
      </xdr:spPr>
    </xdr:pic>
    <xdr:clientData/>
  </xdr:twoCellAnchor>
  <xdr:twoCellAnchor editAs="oneCell">
    <xdr:from>
      <xdr:col>0</xdr:col>
      <xdr:colOff>495300</xdr:colOff>
      <xdr:row>2</xdr:row>
      <xdr:rowOff>66675</xdr:rowOff>
    </xdr:from>
    <xdr:to>
      <xdr:col>2</xdr:col>
      <xdr:colOff>219075</xdr:colOff>
      <xdr:row>5</xdr:row>
      <xdr:rowOff>190500</xdr:rowOff>
    </xdr:to>
    <xdr:pic>
      <xdr:nvPicPr>
        <xdr:cNvPr id="6" name="Picture 8"/>
        <xdr:cNvPicPr preferRelativeResize="1">
          <a:picLocks noChangeAspect="1"/>
        </xdr:cNvPicPr>
      </xdr:nvPicPr>
      <xdr:blipFill>
        <a:blip r:embed="rId6"/>
        <a:stretch>
          <a:fillRect/>
        </a:stretch>
      </xdr:blipFill>
      <xdr:spPr>
        <a:xfrm>
          <a:off x="495300" y="390525"/>
          <a:ext cx="25241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O74"/>
  <sheetViews>
    <sheetView showGridLines="0" tabSelected="1" zoomScale="115" zoomScaleNormal="115" zoomScaleSheetLayoutView="100" zoomScalePageLayoutView="0" workbookViewId="0" topLeftCell="A1">
      <selection activeCell="P4" sqref="P4"/>
    </sheetView>
  </sheetViews>
  <sheetFormatPr defaultColWidth="9.140625" defaultRowHeight="12.75"/>
  <cols>
    <col min="1" max="1" width="1.8515625" style="84" customWidth="1"/>
    <col min="2" max="2" width="14.140625" style="105" customWidth="1"/>
    <col min="3" max="3" width="23.7109375" style="105" customWidth="1"/>
    <col min="4" max="4" width="15.7109375" style="105" customWidth="1"/>
    <col min="5" max="5" width="12.7109375" style="105" customWidth="1"/>
    <col min="6" max="6" width="6.00390625" style="105" customWidth="1"/>
    <col min="7" max="7" width="20.28125" style="105" customWidth="1"/>
    <col min="8" max="8" width="3.28125" style="105" customWidth="1"/>
    <col min="9" max="9" width="26.00390625" style="84" customWidth="1"/>
    <col min="10" max="10" width="23.140625" style="83" hidden="1" customWidth="1"/>
    <col min="11" max="11" width="13.140625" style="83" hidden="1" customWidth="1"/>
    <col min="12" max="12" width="16.140625" style="84" hidden="1" customWidth="1"/>
    <col min="13" max="13" width="9.140625" style="83" hidden="1" customWidth="1"/>
    <col min="14" max="14" width="19.28125" style="83" hidden="1" customWidth="1"/>
    <col min="15" max="15" width="15.57421875" style="83" hidden="1" customWidth="1"/>
    <col min="16" max="16384" width="9.140625" style="84" customWidth="1"/>
  </cols>
  <sheetData>
    <row r="1" spans="2:13" ht="11.25">
      <c r="B1" s="131"/>
      <c r="C1" s="132"/>
      <c r="D1" s="132"/>
      <c r="E1" s="132"/>
      <c r="F1" s="132"/>
      <c r="G1" s="132"/>
      <c r="H1" s="132"/>
      <c r="I1" s="133"/>
      <c r="J1" s="82"/>
      <c r="K1" s="82"/>
      <c r="L1" s="80"/>
      <c r="M1" s="82"/>
    </row>
    <row r="2" spans="2:14" ht="11.25">
      <c r="B2" s="117"/>
      <c r="C2" s="118"/>
      <c r="D2" s="118"/>
      <c r="E2" s="118"/>
      <c r="F2" s="118"/>
      <c r="G2" s="118"/>
      <c r="H2" s="118"/>
      <c r="I2" s="119"/>
      <c r="J2" s="85"/>
      <c r="K2" s="85"/>
      <c r="L2" s="85"/>
      <c r="M2" s="85"/>
      <c r="N2" s="86"/>
    </row>
    <row r="3" spans="2:14" ht="11.25">
      <c r="B3" s="214"/>
      <c r="C3" s="215"/>
      <c r="D3" s="215"/>
      <c r="E3" s="215"/>
      <c r="F3" s="215"/>
      <c r="G3" s="215"/>
      <c r="H3" s="215"/>
      <c r="I3" s="216"/>
      <c r="J3" s="85"/>
      <c r="K3" s="85"/>
      <c r="L3" s="85"/>
      <c r="M3" s="85"/>
      <c r="N3" s="86"/>
    </row>
    <row r="4" spans="2:13" ht="22.5" customHeight="1">
      <c r="B4" s="225" t="s">
        <v>95</v>
      </c>
      <c r="C4" s="226"/>
      <c r="D4" s="226"/>
      <c r="E4" s="226"/>
      <c r="F4" s="226"/>
      <c r="G4" s="226"/>
      <c r="H4" s="226"/>
      <c r="I4" s="227"/>
      <c r="J4" s="82"/>
      <c r="K4" s="82"/>
      <c r="L4" s="80"/>
      <c r="M4" s="82"/>
    </row>
    <row r="5" spans="2:13" ht="11.25">
      <c r="B5" s="223" t="s">
        <v>40</v>
      </c>
      <c r="C5" s="224"/>
      <c r="D5" s="224"/>
      <c r="E5" s="224"/>
      <c r="F5" s="224"/>
      <c r="G5" s="224"/>
      <c r="H5" s="190"/>
      <c r="I5" s="120" t="s">
        <v>23</v>
      </c>
      <c r="J5" s="82"/>
      <c r="K5" s="82" t="s">
        <v>13</v>
      </c>
      <c r="L5" s="80" t="s">
        <v>22</v>
      </c>
      <c r="M5" s="82"/>
    </row>
    <row r="6" spans="2:13" ht="11.25">
      <c r="B6" s="121">
        <v>1</v>
      </c>
      <c r="C6" s="220" t="s">
        <v>33</v>
      </c>
      <c r="D6" s="220"/>
      <c r="E6" s="220"/>
      <c r="F6" s="220"/>
      <c r="G6" s="220"/>
      <c r="H6" s="220"/>
      <c r="I6" s="122" t="s">
        <v>63</v>
      </c>
      <c r="J6" s="82"/>
      <c r="K6" s="82"/>
      <c r="L6" s="80"/>
      <c r="M6" s="82"/>
    </row>
    <row r="7" spans="2:14" s="92" customFormat="1" ht="11.25">
      <c r="B7" s="121">
        <v>2</v>
      </c>
      <c r="C7" s="220" t="s">
        <v>61</v>
      </c>
      <c r="D7" s="220"/>
      <c r="E7" s="220"/>
      <c r="F7" s="220"/>
      <c r="G7" s="220"/>
      <c r="H7" s="220"/>
      <c r="I7" s="122" t="s">
        <v>112</v>
      </c>
      <c r="J7" s="88" t="str">
        <f>VLOOKUP(I7,C39:E62,1,FALSE)</f>
        <v>2 lamp 4ft T12HO</v>
      </c>
      <c r="K7" s="89">
        <f>VLOOKUP(I7,C39:E62,2,FALSE)</f>
        <v>150</v>
      </c>
      <c r="L7" s="90">
        <f>VLOOKUP(I7,C39:E62,3,FALSE)</f>
        <v>24000</v>
      </c>
      <c r="M7" s="87"/>
      <c r="N7" s="91" t="str">
        <f>J7</f>
        <v>2 lamp 4ft T12HO</v>
      </c>
    </row>
    <row r="8" spans="2:13" s="92" customFormat="1" ht="11.25">
      <c r="B8" s="121">
        <v>3</v>
      </c>
      <c r="C8" s="220" t="s">
        <v>101</v>
      </c>
      <c r="D8" s="220"/>
      <c r="E8" s="220"/>
      <c r="F8" s="220"/>
      <c r="G8" s="220"/>
      <c r="H8" s="220"/>
      <c r="I8" s="122">
        <v>1</v>
      </c>
      <c r="J8" s="89"/>
      <c r="K8" s="89"/>
      <c r="L8" s="89"/>
      <c r="M8" s="87"/>
    </row>
    <row r="9" spans="2:13" s="92" customFormat="1" ht="11.25">
      <c r="B9" s="121">
        <v>4</v>
      </c>
      <c r="C9" s="220" t="s">
        <v>102</v>
      </c>
      <c r="D9" s="220"/>
      <c r="E9" s="220"/>
      <c r="F9" s="220"/>
      <c r="G9" s="220"/>
      <c r="H9" s="220"/>
      <c r="I9" s="122">
        <v>1</v>
      </c>
      <c r="J9" s="89"/>
      <c r="K9" s="89"/>
      <c r="L9" s="89"/>
      <c r="M9" s="87"/>
    </row>
    <row r="10" spans="2:13" s="92" customFormat="1" ht="11.25">
      <c r="B10" s="121">
        <v>5</v>
      </c>
      <c r="C10" s="220" t="s">
        <v>54</v>
      </c>
      <c r="D10" s="220"/>
      <c r="E10" s="220"/>
      <c r="F10" s="220"/>
      <c r="G10" s="220"/>
      <c r="H10" s="220"/>
      <c r="I10" s="123">
        <v>500</v>
      </c>
      <c r="J10" s="89"/>
      <c r="K10" s="89"/>
      <c r="L10" s="89"/>
      <c r="M10" s="87"/>
    </row>
    <row r="11" spans="2:13" s="92" customFormat="1" ht="11.25">
      <c r="B11" s="121">
        <v>6</v>
      </c>
      <c r="C11" s="220" t="s">
        <v>30</v>
      </c>
      <c r="D11" s="220"/>
      <c r="E11" s="220"/>
      <c r="F11" s="220"/>
      <c r="G11" s="220"/>
      <c r="H11" s="220"/>
      <c r="I11" s="124">
        <v>10</v>
      </c>
      <c r="J11" s="89"/>
      <c r="K11" s="89"/>
      <c r="L11" s="89"/>
      <c r="M11" s="87"/>
    </row>
    <row r="12" spans="2:13" s="92" customFormat="1" ht="11.25">
      <c r="B12" s="121">
        <v>7</v>
      </c>
      <c r="C12" s="220" t="s">
        <v>31</v>
      </c>
      <c r="D12" s="220"/>
      <c r="E12" s="220"/>
      <c r="F12" s="220"/>
      <c r="G12" s="220"/>
      <c r="H12" s="220"/>
      <c r="I12" s="124">
        <v>2</v>
      </c>
      <c r="J12" s="89"/>
      <c r="K12" s="89"/>
      <c r="L12" s="89"/>
      <c r="M12" s="87"/>
    </row>
    <row r="13" spans="2:13" s="92" customFormat="1" ht="11.25">
      <c r="B13" s="121">
        <v>8</v>
      </c>
      <c r="C13" s="220" t="s">
        <v>107</v>
      </c>
      <c r="D13" s="220"/>
      <c r="E13" s="220"/>
      <c r="F13" s="220"/>
      <c r="G13" s="220"/>
      <c r="H13" s="220"/>
      <c r="I13" s="124">
        <v>75</v>
      </c>
      <c r="J13" s="89"/>
      <c r="K13" s="89"/>
      <c r="L13" s="89"/>
      <c r="M13" s="87"/>
    </row>
    <row r="14" spans="2:13" s="92" customFormat="1" ht="11.25">
      <c r="B14" s="121">
        <v>9</v>
      </c>
      <c r="C14" s="220" t="s">
        <v>104</v>
      </c>
      <c r="D14" s="220"/>
      <c r="E14" s="220"/>
      <c r="F14" s="220"/>
      <c r="G14" s="220"/>
      <c r="H14" s="220"/>
      <c r="I14" s="122">
        <v>5</v>
      </c>
      <c r="J14" s="89"/>
      <c r="K14" s="89"/>
      <c r="L14" s="89"/>
      <c r="M14" s="87"/>
    </row>
    <row r="15" spans="2:13" s="92" customFormat="1" ht="11.25">
      <c r="B15" s="121">
        <v>10</v>
      </c>
      <c r="C15" s="220" t="s">
        <v>105</v>
      </c>
      <c r="D15" s="220"/>
      <c r="E15" s="220"/>
      <c r="F15" s="220"/>
      <c r="G15" s="220"/>
      <c r="H15" s="220"/>
      <c r="I15" s="124">
        <v>3</v>
      </c>
      <c r="J15" s="89"/>
      <c r="K15" s="89"/>
      <c r="L15" s="89"/>
      <c r="M15" s="87"/>
    </row>
    <row r="16" spans="2:14" s="92" customFormat="1" ht="11.25">
      <c r="B16" s="121">
        <v>11</v>
      </c>
      <c r="C16" s="220" t="s">
        <v>37</v>
      </c>
      <c r="D16" s="220"/>
      <c r="E16" s="220"/>
      <c r="F16" s="220"/>
      <c r="G16" s="220"/>
      <c r="H16" s="220"/>
      <c r="I16" s="125">
        <v>2</v>
      </c>
      <c r="J16" s="87"/>
      <c r="K16" s="89"/>
      <c r="L16" s="89"/>
      <c r="M16" s="87"/>
      <c r="N16" s="93"/>
    </row>
    <row r="17" spans="2:14" s="92" customFormat="1" ht="11.25">
      <c r="B17" s="121">
        <v>12</v>
      </c>
      <c r="C17" s="220" t="s">
        <v>38</v>
      </c>
      <c r="D17" s="220"/>
      <c r="E17" s="220"/>
      <c r="F17" s="220"/>
      <c r="G17" s="220"/>
      <c r="H17" s="220"/>
      <c r="I17" s="122">
        <v>2</v>
      </c>
      <c r="J17" s="87"/>
      <c r="K17" s="89"/>
      <c r="L17" s="89"/>
      <c r="M17" s="87"/>
      <c r="N17" s="93"/>
    </row>
    <row r="18" spans="2:13" s="92" customFormat="1" ht="11.25">
      <c r="B18" s="121">
        <v>13</v>
      </c>
      <c r="C18" s="220" t="s">
        <v>20</v>
      </c>
      <c r="D18" s="220"/>
      <c r="E18" s="220"/>
      <c r="F18" s="220"/>
      <c r="G18" s="220"/>
      <c r="H18" s="220"/>
      <c r="I18" s="124">
        <v>75</v>
      </c>
      <c r="J18" s="87"/>
      <c r="K18" s="89"/>
      <c r="L18" s="89"/>
      <c r="M18" s="87"/>
    </row>
    <row r="19" spans="2:13" s="92" customFormat="1" ht="11.25">
      <c r="B19" s="121">
        <v>14</v>
      </c>
      <c r="C19" s="220" t="s">
        <v>21</v>
      </c>
      <c r="D19" s="220"/>
      <c r="E19" s="220"/>
      <c r="F19" s="220"/>
      <c r="G19" s="220"/>
      <c r="H19" s="220"/>
      <c r="I19" s="124">
        <v>0.09</v>
      </c>
      <c r="J19" s="89"/>
      <c r="K19" s="89"/>
      <c r="L19" s="89"/>
      <c r="M19" s="87"/>
    </row>
    <row r="20" spans="2:13" s="92" customFormat="1" ht="11.25">
      <c r="B20" s="121">
        <v>15</v>
      </c>
      <c r="C20" s="220" t="s">
        <v>26</v>
      </c>
      <c r="D20" s="220"/>
      <c r="E20" s="220"/>
      <c r="F20" s="220"/>
      <c r="G20" s="220"/>
      <c r="H20" s="220"/>
      <c r="I20" s="122">
        <v>24</v>
      </c>
      <c r="J20" s="94"/>
      <c r="K20" s="89">
        <f>I20*52*7</f>
        <v>8736</v>
      </c>
      <c r="L20" s="95" t="s">
        <v>24</v>
      </c>
      <c r="M20" s="87"/>
    </row>
    <row r="21" spans="2:13" s="92" customFormat="1" ht="11.25">
      <c r="B21" s="121">
        <v>16</v>
      </c>
      <c r="C21" s="152" t="s">
        <v>74</v>
      </c>
      <c r="D21" s="153"/>
      <c r="E21" s="153"/>
      <c r="F21" s="153"/>
      <c r="G21" s="153"/>
      <c r="H21" s="154"/>
      <c r="I21" s="122" t="s">
        <v>76</v>
      </c>
      <c r="J21" s="94" t="s">
        <v>75</v>
      </c>
      <c r="K21" s="89">
        <f>K20*(1-I32)</f>
        <v>4368</v>
      </c>
      <c r="L21" s="95" t="s">
        <v>99</v>
      </c>
      <c r="M21" s="87"/>
    </row>
    <row r="22" spans="2:13" s="92" customFormat="1" ht="11.25">
      <c r="B22" s="121">
        <v>17</v>
      </c>
      <c r="C22" s="155" t="s">
        <v>70</v>
      </c>
      <c r="D22" s="156"/>
      <c r="E22" s="156"/>
      <c r="F22" s="156"/>
      <c r="G22" s="156"/>
      <c r="H22" s="157"/>
      <c r="I22" s="158">
        <v>30</v>
      </c>
      <c r="J22" s="94" t="s">
        <v>76</v>
      </c>
      <c r="K22" s="89"/>
      <c r="L22" s="95"/>
      <c r="M22" s="87"/>
    </row>
    <row r="23" spans="2:13" s="92" customFormat="1" ht="11.25">
      <c r="B23" s="121">
        <v>18</v>
      </c>
      <c r="C23" s="155" t="s">
        <v>71</v>
      </c>
      <c r="D23" s="156"/>
      <c r="E23" s="156"/>
      <c r="F23" s="156"/>
      <c r="G23" s="156"/>
      <c r="H23" s="157"/>
      <c r="I23" s="174">
        <v>0.9</v>
      </c>
      <c r="J23" s="94"/>
      <c r="K23" s="89"/>
      <c r="L23" s="95"/>
      <c r="M23" s="87"/>
    </row>
    <row r="24" spans="2:13" s="92" customFormat="1" ht="11.25">
      <c r="B24" s="121">
        <v>19</v>
      </c>
      <c r="C24" s="217" t="s">
        <v>77</v>
      </c>
      <c r="D24" s="218"/>
      <c r="E24" s="218"/>
      <c r="F24" s="218"/>
      <c r="G24" s="218"/>
      <c r="H24" s="219"/>
      <c r="I24" s="158">
        <v>50</v>
      </c>
      <c r="J24" s="149">
        <f>(I24-32)*5/9</f>
        <v>10</v>
      </c>
      <c r="K24" s="89"/>
      <c r="L24" s="95"/>
      <c r="M24" s="87"/>
    </row>
    <row r="25" spans="2:13" s="92" customFormat="1" ht="11.25">
      <c r="B25" s="121">
        <v>20</v>
      </c>
      <c r="C25" s="217" t="s">
        <v>72</v>
      </c>
      <c r="D25" s="218"/>
      <c r="E25" s="218"/>
      <c r="F25" s="218"/>
      <c r="G25" s="218"/>
      <c r="H25" s="219"/>
      <c r="I25" s="158">
        <v>80</v>
      </c>
      <c r="J25" s="149">
        <f>(I25-32)*5/9</f>
        <v>26.666666666666668</v>
      </c>
      <c r="K25" s="89"/>
      <c r="L25" s="95"/>
      <c r="M25" s="87"/>
    </row>
    <row r="26" spans="2:13" s="92" customFormat="1" ht="11.25">
      <c r="B26" s="121">
        <v>21</v>
      </c>
      <c r="C26" s="155" t="s">
        <v>73</v>
      </c>
      <c r="D26" s="156"/>
      <c r="E26" s="156"/>
      <c r="F26" s="156"/>
      <c r="G26" s="156"/>
      <c r="H26" s="157"/>
      <c r="I26" s="159">
        <f>J26</f>
        <v>1.698899999999998</v>
      </c>
      <c r="J26" s="150">
        <f>(J24+273.15)/((J25+273.15)-(J24+273.15))*0.1</f>
        <v>1.698899999999998</v>
      </c>
      <c r="K26" s="89"/>
      <c r="L26" s="95"/>
      <c r="M26" s="87"/>
    </row>
    <row r="27" spans="2:13" s="92" customFormat="1" ht="11.25">
      <c r="B27" s="121">
        <v>22</v>
      </c>
      <c r="C27" s="220" t="s">
        <v>103</v>
      </c>
      <c r="D27" s="220"/>
      <c r="E27" s="220"/>
      <c r="F27" s="220"/>
      <c r="G27" s="220"/>
      <c r="H27" s="220"/>
      <c r="I27" s="160">
        <v>131</v>
      </c>
      <c r="J27" s="151"/>
      <c r="K27" s="89"/>
      <c r="L27" s="95"/>
      <c r="M27" s="87"/>
    </row>
    <row r="28" spans="2:14" s="92" customFormat="1" ht="11.25">
      <c r="B28" s="121">
        <v>23</v>
      </c>
      <c r="C28" s="220" t="s">
        <v>62</v>
      </c>
      <c r="D28" s="220"/>
      <c r="E28" s="220"/>
      <c r="F28" s="220"/>
      <c r="G28" s="220"/>
      <c r="H28" s="220"/>
      <c r="I28" s="122" t="s">
        <v>140</v>
      </c>
      <c r="J28" s="112" t="str">
        <f>VLOOKUP(I28,I39:K50,1,FALSE)</f>
        <v>ZPL2/UNV1 (33w)</v>
      </c>
      <c r="K28" s="89">
        <f>VLOOKUP(I28,I39:K50,2,FALSE)</f>
        <v>33</v>
      </c>
      <c r="L28" s="96">
        <f>VLOOKUP(I28,I39:K50,3,FALSE)</f>
        <v>63808.490932668916</v>
      </c>
      <c r="M28" s="87"/>
      <c r="N28" s="97" t="str">
        <f>J28</f>
        <v>ZPL2/UNV1 (33w)</v>
      </c>
    </row>
    <row r="29" spans="2:13" s="92" customFormat="1" ht="11.25">
      <c r="B29" s="121">
        <v>24</v>
      </c>
      <c r="C29" s="220" t="s">
        <v>14</v>
      </c>
      <c r="D29" s="220"/>
      <c r="E29" s="220"/>
      <c r="F29" s="220"/>
      <c r="G29" s="220"/>
      <c r="H29" s="220"/>
      <c r="I29" s="123">
        <v>800</v>
      </c>
      <c r="J29" s="98"/>
      <c r="K29" s="89"/>
      <c r="L29" s="95"/>
      <c r="M29" s="87"/>
    </row>
    <row r="30" spans="2:13" s="92" customFormat="1" ht="11.25">
      <c r="B30" s="121">
        <v>25</v>
      </c>
      <c r="C30" s="233" t="s">
        <v>80</v>
      </c>
      <c r="D30" s="234"/>
      <c r="E30" s="234"/>
      <c r="F30" s="234"/>
      <c r="G30" s="234"/>
      <c r="H30" s="235"/>
      <c r="I30" s="124">
        <v>0</v>
      </c>
      <c r="J30" s="98"/>
      <c r="K30" s="89"/>
      <c r="L30" s="95"/>
      <c r="M30" s="87"/>
    </row>
    <row r="31" spans="2:13" s="92" customFormat="1" ht="11.25">
      <c r="B31" s="121">
        <v>26</v>
      </c>
      <c r="C31" s="162" t="s">
        <v>96</v>
      </c>
      <c r="D31" s="163"/>
      <c r="E31" s="163"/>
      <c r="F31" s="163"/>
      <c r="G31" s="163"/>
      <c r="H31" s="164"/>
      <c r="I31" s="124" t="s">
        <v>76</v>
      </c>
      <c r="J31" s="98"/>
      <c r="K31" s="89"/>
      <c r="L31" s="95"/>
      <c r="M31" s="87"/>
    </row>
    <row r="32" spans="2:13" s="92" customFormat="1" ht="11.25">
      <c r="B32" s="121">
        <v>27</v>
      </c>
      <c r="C32" s="162" t="s">
        <v>97</v>
      </c>
      <c r="D32" s="163"/>
      <c r="E32" s="163"/>
      <c r="F32" s="163"/>
      <c r="G32" s="163"/>
      <c r="H32" s="164"/>
      <c r="I32" s="161">
        <v>0.5</v>
      </c>
      <c r="J32" s="98"/>
      <c r="K32" s="89"/>
      <c r="L32" s="95"/>
      <c r="M32" s="87"/>
    </row>
    <row r="33" spans="2:13" s="92" customFormat="1" ht="11.25">
      <c r="B33" s="121">
        <v>28</v>
      </c>
      <c r="C33" s="162" t="s">
        <v>98</v>
      </c>
      <c r="D33" s="163"/>
      <c r="E33" s="163"/>
      <c r="F33" s="163"/>
      <c r="G33" s="163"/>
      <c r="H33" s="164"/>
      <c r="I33" s="124">
        <v>0</v>
      </c>
      <c r="J33" s="98"/>
      <c r="K33" s="89"/>
      <c r="L33" s="95"/>
      <c r="M33" s="87"/>
    </row>
    <row r="34" spans="2:13" s="92" customFormat="1" ht="11.25">
      <c r="B34" s="121">
        <v>29</v>
      </c>
      <c r="C34" s="187" t="s">
        <v>79</v>
      </c>
      <c r="D34" s="188"/>
      <c r="E34" s="188"/>
      <c r="F34" s="188"/>
      <c r="G34" s="188"/>
      <c r="H34" s="189"/>
      <c r="I34" s="124">
        <v>0</v>
      </c>
      <c r="J34" s="98"/>
      <c r="K34" s="89"/>
      <c r="L34" s="95"/>
      <c r="M34" s="87"/>
    </row>
    <row r="35" spans="2:13" s="92" customFormat="1" ht="11.25">
      <c r="B35" s="121">
        <v>30</v>
      </c>
      <c r="C35" s="187" t="s">
        <v>78</v>
      </c>
      <c r="D35" s="188"/>
      <c r="E35" s="188"/>
      <c r="F35" s="188"/>
      <c r="G35" s="188"/>
      <c r="H35" s="189"/>
      <c r="I35" s="124">
        <v>0</v>
      </c>
      <c r="J35" s="98"/>
      <c r="K35" s="89"/>
      <c r="L35" s="95"/>
      <c r="M35" s="87"/>
    </row>
    <row r="36" spans="2:13" s="92" customFormat="1" ht="12" customHeight="1">
      <c r="B36" s="121">
        <v>31</v>
      </c>
      <c r="C36" s="228" t="s">
        <v>81</v>
      </c>
      <c r="D36" s="228"/>
      <c r="E36" s="228"/>
      <c r="F36" s="228"/>
      <c r="G36" s="228"/>
      <c r="H36" s="228"/>
      <c r="I36" s="124">
        <v>0</v>
      </c>
      <c r="J36" s="99"/>
      <c r="K36" s="89"/>
      <c r="L36" s="90"/>
      <c r="M36" s="87"/>
    </row>
    <row r="37" spans="2:15" ht="11.25" hidden="1">
      <c r="B37" s="221" t="s">
        <v>19</v>
      </c>
      <c r="C37" s="222"/>
      <c r="D37" s="103"/>
      <c r="E37" s="102"/>
      <c r="F37" s="100"/>
      <c r="G37" s="192"/>
      <c r="H37" s="229" t="s">
        <v>59</v>
      </c>
      <c r="I37" s="230"/>
      <c r="J37" s="101"/>
      <c r="K37" s="173"/>
      <c r="L37" s="80"/>
      <c r="M37" s="82"/>
      <c r="N37" s="84"/>
      <c r="O37" s="84"/>
    </row>
    <row r="38" spans="2:15" ht="11.25" hidden="1">
      <c r="B38" s="204"/>
      <c r="C38" s="102" t="s">
        <v>18</v>
      </c>
      <c r="D38" s="103" t="s">
        <v>13</v>
      </c>
      <c r="E38" s="181" t="s">
        <v>22</v>
      </c>
      <c r="F38" s="100"/>
      <c r="G38" s="192"/>
      <c r="H38" s="173"/>
      <c r="I38" s="193" t="s">
        <v>18</v>
      </c>
      <c r="J38" s="101" t="s">
        <v>13</v>
      </c>
      <c r="K38" s="144" t="s">
        <v>22</v>
      </c>
      <c r="L38" s="80"/>
      <c r="M38" s="82"/>
      <c r="N38" s="84"/>
      <c r="O38" s="84"/>
    </row>
    <row r="39" spans="2:15" ht="11.25" hidden="1">
      <c r="B39" s="205">
        <v>1</v>
      </c>
      <c r="C39" s="139" t="s">
        <v>108</v>
      </c>
      <c r="D39" s="178">
        <f>32*2/0.8</f>
        <v>80</v>
      </c>
      <c r="E39" s="182">
        <v>30000</v>
      </c>
      <c r="F39" s="100"/>
      <c r="G39" s="192"/>
      <c r="H39" s="145" t="s">
        <v>15</v>
      </c>
      <c r="I39" s="148" t="s">
        <v>140</v>
      </c>
      <c r="J39" s="147">
        <v>33</v>
      </c>
      <c r="K39" s="146">
        <f>IF($I$27&gt;=149,$O$59,IF($I$27&gt;=131,AVERAGE($O$58:$O$59),IF($I$27&gt;=104,AVERAGE($O$56:$O$57),IF($I$27&gt;=95,AVERAGE($O$55:$O$56),IF($I$27&gt;=86,AVERAGE($O$54:$O$55),IF($I$27&gt;=77,AVERAGE($O$53:$O$54),IF($I$27&lt;77,$O$53,0)))))))</f>
        <v>63808.490932668916</v>
      </c>
      <c r="L39" s="87"/>
      <c r="M39" s="82"/>
      <c r="N39" s="84"/>
      <c r="O39" s="84"/>
    </row>
    <row r="40" spans="2:15" ht="11.25" hidden="1">
      <c r="B40" s="206">
        <v>2</v>
      </c>
      <c r="C40" s="140" t="s">
        <v>109</v>
      </c>
      <c r="D40" s="179">
        <f>40*2/0.8</f>
        <v>100</v>
      </c>
      <c r="E40" s="183">
        <v>24000</v>
      </c>
      <c r="F40" s="104"/>
      <c r="G40" s="192"/>
      <c r="H40" s="145" t="s">
        <v>16</v>
      </c>
      <c r="I40" s="148" t="s">
        <v>139</v>
      </c>
      <c r="J40" s="147">
        <v>63</v>
      </c>
      <c r="K40" s="146">
        <f>IF($I$27&gt;=149,$O$59,IF($I$27&gt;=131,AVERAGE($O$58:$O$59),IF($I$27&gt;=104,AVERAGE($O$56:$O$57),IF($I$27&gt;=95,AVERAGE($O$55:$O$56),IF($I$27&gt;=86,AVERAGE($O$54:$O$55),IF($I$27&gt;=77,AVERAGE($O$53:$O$54),IF($I$27&lt;77,$O$53,0)))))))</f>
        <v>63808.490932668916</v>
      </c>
      <c r="L40" s="87"/>
      <c r="M40" s="82"/>
      <c r="N40" s="84"/>
      <c r="O40" s="84"/>
    </row>
    <row r="41" spans="2:15" ht="11.25" hidden="1">
      <c r="B41" s="206">
        <v>3</v>
      </c>
      <c r="C41" s="140" t="s">
        <v>110</v>
      </c>
      <c r="D41" s="179">
        <f>2*28/0.8</f>
        <v>70</v>
      </c>
      <c r="E41" s="183">
        <v>24000</v>
      </c>
      <c r="F41" s="104"/>
      <c r="G41" s="192"/>
      <c r="H41" s="145" t="s">
        <v>17</v>
      </c>
      <c r="I41" s="148"/>
      <c r="J41" s="147"/>
      <c r="K41" s="146"/>
      <c r="L41" s="87"/>
      <c r="M41" s="82"/>
      <c r="N41" s="84"/>
      <c r="O41" s="84"/>
    </row>
    <row r="42" spans="2:15" ht="11.25" hidden="1">
      <c r="B42" s="206">
        <v>4</v>
      </c>
      <c r="C42" s="140" t="s">
        <v>111</v>
      </c>
      <c r="D42" s="179">
        <f>2*44/0.8</f>
        <v>110</v>
      </c>
      <c r="E42" s="183">
        <v>30000</v>
      </c>
      <c r="F42" s="192"/>
      <c r="G42" s="192"/>
      <c r="H42" s="145" t="s">
        <v>60</v>
      </c>
      <c r="I42" s="148"/>
      <c r="J42" s="147"/>
      <c r="K42" s="146"/>
      <c r="L42" s="80"/>
      <c r="M42" s="82"/>
      <c r="N42" s="84"/>
      <c r="O42" s="84"/>
    </row>
    <row r="43" spans="2:15" ht="11.25" hidden="1">
      <c r="B43" s="206">
        <v>5</v>
      </c>
      <c r="C43" s="140" t="s">
        <v>112</v>
      </c>
      <c r="D43" s="179">
        <f>2*60/0.8</f>
        <v>150</v>
      </c>
      <c r="E43" s="183">
        <v>24000</v>
      </c>
      <c r="F43" s="192"/>
      <c r="G43" s="192"/>
      <c r="H43" s="165"/>
      <c r="I43" s="175"/>
      <c r="J43" s="166"/>
      <c r="K43" s="166"/>
      <c r="L43" s="80"/>
      <c r="M43" s="82"/>
      <c r="N43" s="84"/>
      <c r="O43" s="84"/>
    </row>
    <row r="44" spans="2:15" ht="11.25" hidden="1">
      <c r="B44" s="207">
        <v>6</v>
      </c>
      <c r="C44" s="141" t="s">
        <v>113</v>
      </c>
      <c r="D44" s="180">
        <f>2*54/0.8</f>
        <v>135</v>
      </c>
      <c r="E44" s="184">
        <v>35000</v>
      </c>
      <c r="F44" s="192"/>
      <c r="G44" s="192"/>
      <c r="H44" s="165"/>
      <c r="I44" s="175"/>
      <c r="J44" s="166"/>
      <c r="K44" s="166"/>
      <c r="L44" s="80"/>
      <c r="M44" s="82"/>
      <c r="N44" s="84"/>
      <c r="O44" s="84"/>
    </row>
    <row r="45" spans="2:15" ht="11.25" hidden="1">
      <c r="B45" s="208">
        <v>7</v>
      </c>
      <c r="C45" s="185" t="s">
        <v>114</v>
      </c>
      <c r="D45" s="186">
        <f>2*17/0.8</f>
        <v>42.5</v>
      </c>
      <c r="E45" s="182">
        <v>30000</v>
      </c>
      <c r="F45" s="192"/>
      <c r="G45" s="192"/>
      <c r="H45" s="165"/>
      <c r="I45" s="175"/>
      <c r="J45" s="166"/>
      <c r="K45" s="166"/>
      <c r="L45" s="80"/>
      <c r="M45" s="82"/>
      <c r="N45" s="84"/>
      <c r="O45" s="84"/>
    </row>
    <row r="46" spans="2:15" ht="11.25" hidden="1">
      <c r="B46" s="206">
        <v>8</v>
      </c>
      <c r="C46" s="140" t="s">
        <v>115</v>
      </c>
      <c r="D46" s="179">
        <f>2*20/0.8</f>
        <v>50</v>
      </c>
      <c r="E46" s="183">
        <v>24000</v>
      </c>
      <c r="F46" s="192"/>
      <c r="G46" s="192"/>
      <c r="H46" s="165"/>
      <c r="I46" s="175"/>
      <c r="J46" s="166"/>
      <c r="K46" s="166"/>
      <c r="L46" s="80"/>
      <c r="M46" s="82"/>
      <c r="N46" s="84"/>
      <c r="O46" s="84"/>
    </row>
    <row r="47" spans="2:15" ht="11.25" hidden="1">
      <c r="B47" s="206">
        <v>9</v>
      </c>
      <c r="C47" s="140" t="s">
        <v>116</v>
      </c>
      <c r="D47" s="179">
        <f>2*14/0.8</f>
        <v>35</v>
      </c>
      <c r="E47" s="183">
        <v>24000</v>
      </c>
      <c r="F47" s="192"/>
      <c r="G47" s="192"/>
      <c r="H47" s="165"/>
      <c r="I47" s="175"/>
      <c r="J47" s="166"/>
      <c r="K47" s="166"/>
      <c r="L47" s="80"/>
      <c r="M47" s="82"/>
      <c r="N47" s="84"/>
      <c r="O47" s="84"/>
    </row>
    <row r="48" spans="2:15" ht="11.25" hidden="1">
      <c r="B48" s="206">
        <v>10</v>
      </c>
      <c r="C48" s="140" t="s">
        <v>117</v>
      </c>
      <c r="D48" s="179">
        <f>2*31/0.8</f>
        <v>77.5</v>
      </c>
      <c r="E48" s="183">
        <v>30000</v>
      </c>
      <c r="F48" s="192"/>
      <c r="G48" s="192"/>
      <c r="H48" s="165"/>
      <c r="I48" s="168"/>
      <c r="J48" s="166"/>
      <c r="K48" s="166"/>
      <c r="L48" s="80"/>
      <c r="M48" s="82"/>
      <c r="N48" s="84"/>
      <c r="O48" s="84"/>
    </row>
    <row r="49" spans="2:15" ht="11.25" hidden="1">
      <c r="B49" s="206">
        <v>11</v>
      </c>
      <c r="C49" s="140" t="s">
        <v>118</v>
      </c>
      <c r="D49" s="179">
        <f>2*35/0.8</f>
        <v>87.5</v>
      </c>
      <c r="E49" s="183">
        <v>24000</v>
      </c>
      <c r="F49" s="192"/>
      <c r="G49" s="192"/>
      <c r="H49" s="165"/>
      <c r="I49" s="168"/>
      <c r="J49" s="167"/>
      <c r="K49" s="166"/>
      <c r="L49" s="80"/>
      <c r="M49" s="82"/>
      <c r="N49" s="84"/>
      <c r="O49" s="84"/>
    </row>
    <row r="50" spans="2:15" ht="11.25" hidden="1">
      <c r="B50" s="207">
        <v>12</v>
      </c>
      <c r="C50" s="141" t="s">
        <v>119</v>
      </c>
      <c r="D50" s="180">
        <f>2*24/0.8</f>
        <v>60</v>
      </c>
      <c r="E50" s="184">
        <v>35000</v>
      </c>
      <c r="F50" s="192"/>
      <c r="G50" s="192"/>
      <c r="H50" s="165"/>
      <c r="I50" s="168"/>
      <c r="J50" s="167"/>
      <c r="K50" s="166"/>
      <c r="L50" s="80"/>
      <c r="M50" s="82"/>
      <c r="N50" s="84"/>
      <c r="O50" s="84"/>
    </row>
    <row r="51" spans="2:15" ht="12.75" customHeight="1" hidden="1">
      <c r="B51" s="208">
        <v>13</v>
      </c>
      <c r="C51" s="185" t="s">
        <v>120</v>
      </c>
      <c r="D51" s="186">
        <f>32*3/0.8</f>
        <v>120</v>
      </c>
      <c r="E51" s="182">
        <v>30000</v>
      </c>
      <c r="F51" s="192"/>
      <c r="G51" s="192"/>
      <c r="H51" s="192"/>
      <c r="I51" s="116"/>
      <c r="J51" s="231" t="s">
        <v>137</v>
      </c>
      <c r="K51" s="231"/>
      <c r="L51" s="231"/>
      <c r="M51" s="231"/>
      <c r="N51" s="231"/>
      <c r="O51" s="232"/>
    </row>
    <row r="52" spans="2:15" ht="12.75" customHeight="1" hidden="1">
      <c r="B52" s="206">
        <v>14</v>
      </c>
      <c r="C52" s="140" t="s">
        <v>121</v>
      </c>
      <c r="D52" s="179">
        <f>40*3/0.8</f>
        <v>150</v>
      </c>
      <c r="E52" s="183">
        <v>24000</v>
      </c>
      <c r="F52" s="192"/>
      <c r="G52" s="192"/>
      <c r="H52" s="192"/>
      <c r="I52" s="116"/>
      <c r="J52" s="194" t="s">
        <v>82</v>
      </c>
      <c r="K52" s="195" t="s">
        <v>133</v>
      </c>
      <c r="L52" s="195" t="s">
        <v>134</v>
      </c>
      <c r="M52" s="196" t="s">
        <v>135</v>
      </c>
      <c r="N52" s="196" t="s">
        <v>136</v>
      </c>
      <c r="O52" s="196" t="s">
        <v>83</v>
      </c>
    </row>
    <row r="53" spans="2:15" ht="12.75" hidden="1">
      <c r="B53" s="206">
        <v>15</v>
      </c>
      <c r="C53" s="140" t="s">
        <v>122</v>
      </c>
      <c r="D53" s="179">
        <f>3*28/0.8</f>
        <v>105</v>
      </c>
      <c r="E53" s="183">
        <v>24000</v>
      </c>
      <c r="F53" s="192"/>
      <c r="G53" s="192"/>
      <c r="H53" s="192"/>
      <c r="I53" s="116"/>
      <c r="J53" s="197" t="s">
        <v>84</v>
      </c>
      <c r="K53" s="198">
        <v>40</v>
      </c>
      <c r="L53" s="198">
        <v>40</v>
      </c>
      <c r="M53" s="199">
        <v>2152123</v>
      </c>
      <c r="N53" s="200">
        <v>223341.83321134804</v>
      </c>
      <c r="O53" s="200">
        <f aca="true" t="shared" si="0" ref="O53:O59">N53</f>
        <v>223341.83321134804</v>
      </c>
    </row>
    <row r="54" spans="2:15" ht="12.75" hidden="1">
      <c r="B54" s="206">
        <v>16</v>
      </c>
      <c r="C54" s="140" t="s">
        <v>123</v>
      </c>
      <c r="D54" s="179">
        <f>3*44/0.8</f>
        <v>165</v>
      </c>
      <c r="E54" s="183">
        <v>30000</v>
      </c>
      <c r="F54" s="192"/>
      <c r="G54" s="192"/>
      <c r="H54" s="192"/>
      <c r="I54" s="116"/>
      <c r="J54" s="197" t="s">
        <v>85</v>
      </c>
      <c r="K54" s="198">
        <v>49</v>
      </c>
      <c r="L54" s="198">
        <v>48</v>
      </c>
      <c r="M54" s="199">
        <f>20000000*EXP(-0.05*K54)</f>
        <v>1725871.72998741</v>
      </c>
      <c r="N54" s="200">
        <v>170494.57570114464</v>
      </c>
      <c r="O54" s="200">
        <f t="shared" si="0"/>
        <v>170494.57570114464</v>
      </c>
    </row>
    <row r="55" spans="2:15" ht="12.75" hidden="1">
      <c r="B55" s="206">
        <v>17</v>
      </c>
      <c r="C55" s="140" t="s">
        <v>124</v>
      </c>
      <c r="D55" s="179">
        <f>3*60/0.8</f>
        <v>225</v>
      </c>
      <c r="E55" s="183">
        <v>24000</v>
      </c>
      <c r="F55" s="192"/>
      <c r="G55" s="192"/>
      <c r="H55" s="192"/>
      <c r="I55" s="116"/>
      <c r="J55" s="197" t="s">
        <v>86</v>
      </c>
      <c r="K55" s="198">
        <v>58</v>
      </c>
      <c r="L55" s="198">
        <v>56</v>
      </c>
      <c r="M55" s="199">
        <f>20000000*EXP(-0.05*K55)</f>
        <v>1100464.4011281442</v>
      </c>
      <c r="N55" s="200">
        <v>130152.06298591613</v>
      </c>
      <c r="O55" s="200">
        <f t="shared" si="0"/>
        <v>130152.06298591613</v>
      </c>
    </row>
    <row r="56" spans="2:15" ht="12.75" hidden="1">
      <c r="B56" s="207">
        <v>18</v>
      </c>
      <c r="C56" s="141" t="s">
        <v>125</v>
      </c>
      <c r="D56" s="180">
        <f>3*54/0.8</f>
        <v>202.5</v>
      </c>
      <c r="E56" s="184">
        <v>35000</v>
      </c>
      <c r="F56" s="192"/>
      <c r="G56" s="192"/>
      <c r="H56" s="192"/>
      <c r="I56" s="116"/>
      <c r="J56" s="197" t="s">
        <v>87</v>
      </c>
      <c r="K56" s="198">
        <v>65</v>
      </c>
      <c r="L56" s="198">
        <v>65</v>
      </c>
      <c r="M56" s="199">
        <f>20000000*EXP(-0.05*K56)</f>
        <v>775484.1566344402</v>
      </c>
      <c r="N56" s="200">
        <v>105499.21183690314</v>
      </c>
      <c r="O56" s="200">
        <f t="shared" si="0"/>
        <v>105499.21183690314</v>
      </c>
    </row>
    <row r="57" spans="2:15" ht="12.75" hidden="1">
      <c r="B57" s="206">
        <v>19</v>
      </c>
      <c r="C57" s="140" t="s">
        <v>126</v>
      </c>
      <c r="D57" s="179">
        <f>3*17/0.8</f>
        <v>63.75</v>
      </c>
      <c r="E57" s="183">
        <v>30000</v>
      </c>
      <c r="F57" s="192"/>
      <c r="G57" s="192"/>
      <c r="H57" s="192"/>
      <c r="I57" s="116"/>
      <c r="J57" s="197" t="s">
        <v>88</v>
      </c>
      <c r="K57" s="198">
        <v>70</v>
      </c>
      <c r="L57" s="198">
        <v>72</v>
      </c>
      <c r="M57" s="199">
        <f>20000000*EXP(-0.05*K57)</f>
        <v>603947.66844637</v>
      </c>
      <c r="N57" s="200">
        <v>90804.01313457939</v>
      </c>
      <c r="O57" s="200">
        <f t="shared" si="0"/>
        <v>90804.01313457939</v>
      </c>
    </row>
    <row r="58" spans="2:15" ht="12.75" hidden="1">
      <c r="B58" s="206">
        <v>20</v>
      </c>
      <c r="C58" s="140" t="s">
        <v>127</v>
      </c>
      <c r="D58" s="179">
        <f>3*20/0.8</f>
        <v>75</v>
      </c>
      <c r="E58" s="183">
        <v>24000</v>
      </c>
      <c r="F58" s="192"/>
      <c r="G58" s="192"/>
      <c r="H58" s="192"/>
      <c r="I58" s="116"/>
      <c r="J58" s="197" t="s">
        <v>89</v>
      </c>
      <c r="K58" s="198">
        <v>78</v>
      </c>
      <c r="L58" s="198">
        <v>85</v>
      </c>
      <c r="M58" s="199">
        <v>347083</v>
      </c>
      <c r="N58" s="200">
        <v>71428.96662831343</v>
      </c>
      <c r="O58" s="200">
        <f t="shared" si="0"/>
        <v>71428.96662831343</v>
      </c>
    </row>
    <row r="59" spans="2:15" ht="12.75" hidden="1">
      <c r="B59" s="206">
        <v>21</v>
      </c>
      <c r="C59" s="140" t="s">
        <v>128</v>
      </c>
      <c r="D59" s="179">
        <f>3*14/0.8</f>
        <v>52.5</v>
      </c>
      <c r="E59" s="183">
        <v>24000</v>
      </c>
      <c r="F59" s="192"/>
      <c r="G59" s="192"/>
      <c r="H59" s="192"/>
      <c r="I59" s="116"/>
      <c r="J59" s="197" t="s">
        <v>132</v>
      </c>
      <c r="K59" s="198">
        <v>86</v>
      </c>
      <c r="L59" s="198">
        <v>92</v>
      </c>
      <c r="M59" s="199">
        <v>150598</v>
      </c>
      <c r="N59" s="200">
        <v>56188.0152370244</v>
      </c>
      <c r="O59" s="200">
        <f t="shared" si="0"/>
        <v>56188.0152370244</v>
      </c>
    </row>
    <row r="60" spans="2:15" ht="12.75" hidden="1">
      <c r="B60" s="206">
        <v>22</v>
      </c>
      <c r="C60" s="140" t="s">
        <v>129</v>
      </c>
      <c r="D60" s="179">
        <f>3*31/0.8</f>
        <v>116.25</v>
      </c>
      <c r="E60" s="183">
        <v>30000</v>
      </c>
      <c r="F60" s="192"/>
      <c r="G60" s="192"/>
      <c r="H60" s="192"/>
      <c r="I60" s="116"/>
      <c r="J60" s="176"/>
      <c r="K60" s="176"/>
      <c r="L60" s="177"/>
      <c r="M60" s="177"/>
      <c r="N60" s="177"/>
      <c r="O60" s="177"/>
    </row>
    <row r="61" spans="2:15" ht="11.25" hidden="1">
      <c r="B61" s="206">
        <v>23</v>
      </c>
      <c r="C61" s="140" t="s">
        <v>130</v>
      </c>
      <c r="D61" s="179">
        <f>3*35/0.8</f>
        <v>131.25</v>
      </c>
      <c r="E61" s="183">
        <v>24000</v>
      </c>
      <c r="F61" s="192"/>
      <c r="G61" s="192"/>
      <c r="H61" s="192"/>
      <c r="I61" s="116"/>
      <c r="J61" s="212"/>
      <c r="K61" s="212"/>
      <c r="L61" s="212"/>
      <c r="M61" s="212"/>
      <c r="N61" s="172"/>
      <c r="O61" s="172"/>
    </row>
    <row r="62" spans="2:15" ht="12.75" hidden="1">
      <c r="B62" s="207">
        <v>21</v>
      </c>
      <c r="C62" s="141" t="s">
        <v>131</v>
      </c>
      <c r="D62" s="180">
        <f>3*24/0.8</f>
        <v>90</v>
      </c>
      <c r="E62" s="184">
        <v>35000</v>
      </c>
      <c r="F62" s="192"/>
      <c r="G62" s="192"/>
      <c r="H62" s="192"/>
      <c r="I62" s="116"/>
      <c r="J62" s="212"/>
      <c r="K62" s="212"/>
      <c r="L62" s="212"/>
      <c r="M62" s="212"/>
      <c r="N62" s="177"/>
      <c r="O62" s="177"/>
    </row>
    <row r="63" spans="2:15" ht="15" hidden="1">
      <c r="B63" s="171"/>
      <c r="C63" s="172"/>
      <c r="D63" s="172"/>
      <c r="E63" s="172"/>
      <c r="F63" s="192"/>
      <c r="G63" s="126"/>
      <c r="H63" s="127"/>
      <c r="I63" s="116"/>
      <c r="J63" s="201"/>
      <c r="K63" s="201"/>
      <c r="L63" s="213"/>
      <c r="M63" s="213"/>
      <c r="N63" s="84"/>
      <c r="O63" s="84"/>
    </row>
    <row r="64" spans="2:15" ht="12.75">
      <c r="B64" s="191"/>
      <c r="C64" s="192"/>
      <c r="D64" s="192"/>
      <c r="E64" s="192"/>
      <c r="F64" s="192"/>
      <c r="G64" s="126"/>
      <c r="H64" s="128"/>
      <c r="I64" s="116"/>
      <c r="J64" s="202"/>
      <c r="K64" s="202"/>
      <c r="L64" s="211"/>
      <c r="M64" s="211"/>
      <c r="N64" s="84"/>
      <c r="O64" s="84"/>
    </row>
    <row r="65" spans="2:15" ht="12.75">
      <c r="B65" s="191"/>
      <c r="C65" s="192"/>
      <c r="D65" s="192"/>
      <c r="E65" s="192"/>
      <c r="F65" s="192"/>
      <c r="G65" s="126"/>
      <c r="H65" s="128"/>
      <c r="I65" s="116"/>
      <c r="J65" s="202"/>
      <c r="K65" s="202"/>
      <c r="L65" s="211"/>
      <c r="M65" s="211"/>
      <c r="N65" s="84"/>
      <c r="O65" s="84"/>
    </row>
    <row r="66" spans="2:15" ht="12.75">
      <c r="B66" s="129" t="s">
        <v>34</v>
      </c>
      <c r="C66" s="192"/>
      <c r="D66" s="192"/>
      <c r="E66" s="192"/>
      <c r="F66" s="192"/>
      <c r="G66" s="192"/>
      <c r="H66" s="192"/>
      <c r="I66" s="116"/>
      <c r="J66" s="202"/>
      <c r="K66" s="202"/>
      <c r="L66" s="211"/>
      <c r="M66" s="211"/>
      <c r="N66" s="84"/>
      <c r="O66" s="84"/>
    </row>
    <row r="67" spans="2:15" ht="12.75">
      <c r="B67" s="130" t="s">
        <v>39</v>
      </c>
      <c r="C67" s="192"/>
      <c r="D67" s="192"/>
      <c r="E67" s="192"/>
      <c r="F67" s="192"/>
      <c r="G67" s="192"/>
      <c r="H67" s="192"/>
      <c r="I67" s="116"/>
      <c r="J67" s="203"/>
      <c r="K67" s="203"/>
      <c r="L67" s="211"/>
      <c r="M67" s="211"/>
      <c r="N67" s="84"/>
      <c r="O67" s="84"/>
    </row>
    <row r="68" spans="2:15" ht="11.25">
      <c r="B68" s="134" t="s">
        <v>28</v>
      </c>
      <c r="C68" s="192"/>
      <c r="D68" s="192"/>
      <c r="E68" s="192"/>
      <c r="F68" s="192"/>
      <c r="G68" s="192"/>
      <c r="H68" s="192"/>
      <c r="I68" s="116"/>
      <c r="J68" s="82"/>
      <c r="K68" s="82"/>
      <c r="L68" s="80"/>
      <c r="M68" s="82"/>
      <c r="N68" s="84"/>
      <c r="O68" s="84"/>
    </row>
    <row r="69" spans="2:15" ht="12" thickBot="1">
      <c r="B69" s="135" t="s">
        <v>27</v>
      </c>
      <c r="C69" s="136"/>
      <c r="D69" s="136"/>
      <c r="E69" s="136"/>
      <c r="F69" s="136"/>
      <c r="G69" s="137"/>
      <c r="H69" s="136"/>
      <c r="I69" s="138"/>
      <c r="J69" s="82"/>
      <c r="K69" s="82"/>
      <c r="L69" s="80"/>
      <c r="M69" s="82"/>
      <c r="N69" s="84"/>
      <c r="O69" s="84"/>
    </row>
    <row r="70" spans="3:15" ht="11.25">
      <c r="C70" s="113"/>
      <c r="D70" s="113"/>
      <c r="E70" s="113"/>
      <c r="F70" s="113"/>
      <c r="G70" s="114"/>
      <c r="H70" s="113"/>
      <c r="I70" s="115"/>
      <c r="J70" s="82"/>
      <c r="K70" s="82"/>
      <c r="L70" s="80"/>
      <c r="M70" s="82"/>
      <c r="N70" s="84"/>
      <c r="O70" s="84"/>
    </row>
    <row r="71" spans="3:15" ht="11.25">
      <c r="C71" s="106"/>
      <c r="D71" s="106"/>
      <c r="E71" s="106"/>
      <c r="F71" s="106"/>
      <c r="G71" s="107"/>
      <c r="H71" s="106"/>
      <c r="I71" s="108"/>
      <c r="J71" s="82"/>
      <c r="K71" s="82"/>
      <c r="L71" s="80"/>
      <c r="M71" s="82"/>
      <c r="N71" s="84"/>
      <c r="O71" s="84"/>
    </row>
    <row r="72" spans="3:15" ht="11.25">
      <c r="C72" s="106"/>
      <c r="D72" s="106"/>
      <c r="E72" s="106"/>
      <c r="F72" s="106"/>
      <c r="G72" s="107"/>
      <c r="H72" s="106"/>
      <c r="I72" s="108"/>
      <c r="J72" s="82"/>
      <c r="K72" s="82"/>
      <c r="L72" s="80"/>
      <c r="M72" s="82"/>
      <c r="N72" s="84"/>
      <c r="O72" s="84"/>
    </row>
    <row r="73" spans="2:15" ht="11.25">
      <c r="B73" s="109"/>
      <c r="C73" s="109"/>
      <c r="D73" s="109"/>
      <c r="E73" s="109"/>
      <c r="F73" s="109"/>
      <c r="G73" s="110"/>
      <c r="H73" s="109"/>
      <c r="I73" s="111"/>
      <c r="J73" s="82"/>
      <c r="K73" s="82"/>
      <c r="L73" s="80"/>
      <c r="M73" s="82"/>
      <c r="N73" s="84"/>
      <c r="O73" s="84"/>
    </row>
    <row r="74" spans="2:15" ht="11.25">
      <c r="B74" s="81"/>
      <c r="C74" s="81"/>
      <c r="D74" s="81"/>
      <c r="E74" s="81"/>
      <c r="F74" s="81"/>
      <c r="G74" s="81"/>
      <c r="H74" s="81"/>
      <c r="I74" s="80"/>
      <c r="J74" s="82"/>
      <c r="K74" s="82"/>
      <c r="L74" s="80"/>
      <c r="M74" s="82"/>
      <c r="N74" s="84"/>
      <c r="O74" s="84"/>
    </row>
  </sheetData>
  <sheetProtection password="D833" sheet="1"/>
  <mergeCells count="34">
    <mergeCell ref="C20:H20"/>
    <mergeCell ref="C28:H28"/>
    <mergeCell ref="C16:H16"/>
    <mergeCell ref="C9:H9"/>
    <mergeCell ref="C13:H13"/>
    <mergeCell ref="C14:H14"/>
    <mergeCell ref="C15:H15"/>
    <mergeCell ref="C19:H19"/>
    <mergeCell ref="C6:H6"/>
    <mergeCell ref="C7:H7"/>
    <mergeCell ref="J51:O51"/>
    <mergeCell ref="C17:H17"/>
    <mergeCell ref="C30:H30"/>
    <mergeCell ref="C18:H18"/>
    <mergeCell ref="C8:H8"/>
    <mergeCell ref="C10:H10"/>
    <mergeCell ref="C11:H11"/>
    <mergeCell ref="C12:H12"/>
    <mergeCell ref="B3:I3"/>
    <mergeCell ref="C24:H24"/>
    <mergeCell ref="C25:H25"/>
    <mergeCell ref="C27:H27"/>
    <mergeCell ref="B37:C37"/>
    <mergeCell ref="B5:G5"/>
    <mergeCell ref="B4:I4"/>
    <mergeCell ref="C29:H29"/>
    <mergeCell ref="C36:H36"/>
    <mergeCell ref="H37:I37"/>
    <mergeCell ref="L67:M67"/>
    <mergeCell ref="J61:M62"/>
    <mergeCell ref="L63:M63"/>
    <mergeCell ref="L64:M64"/>
    <mergeCell ref="L65:M65"/>
    <mergeCell ref="L66:M66"/>
  </mergeCells>
  <dataValidations count="4">
    <dataValidation type="list" allowBlank="1" showInputMessage="1" showErrorMessage="1" sqref="I21 I31">
      <formula1>$J$21:$J$22</formula1>
    </dataValidation>
    <dataValidation type="list" allowBlank="1" showInputMessage="1" showErrorMessage="1" sqref="I28">
      <formula1>$I$39:$I$40</formula1>
    </dataValidation>
    <dataValidation type="whole" operator="lessThanOrEqual" allowBlank="1" showInputMessage="1" showErrorMessage="1" sqref="I27">
      <formula1>149</formula1>
    </dataValidation>
    <dataValidation type="list" allowBlank="1" showInputMessage="1" showErrorMessage="1" sqref="I7">
      <formula1>$C$39:$C$62</formula1>
    </dataValidation>
  </dataValidations>
  <printOptions/>
  <pageMargins left="0.25" right="0.25" top="0.25" bottom="0.25" header="0.25" footer="0.25"/>
  <pageSetup fitToHeight="1" fitToWidth="1"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P66"/>
  <sheetViews>
    <sheetView zoomScale="90" zoomScaleNormal="90" zoomScaleSheetLayoutView="85" zoomScalePageLayoutView="0" workbookViewId="0" topLeftCell="A1">
      <selection activeCell="J7" sqref="J7"/>
    </sheetView>
  </sheetViews>
  <sheetFormatPr defaultColWidth="9.140625" defaultRowHeight="12.75"/>
  <cols>
    <col min="1" max="1" width="9.00390625" style="1" customWidth="1"/>
    <col min="2" max="2" width="33.00390625" style="1" customWidth="1"/>
    <col min="3" max="3" width="17.421875" style="1" customWidth="1"/>
    <col min="4" max="4" width="15.140625" style="1" customWidth="1"/>
    <col min="5" max="5" width="22.140625" style="1" customWidth="1"/>
    <col min="6" max="6" width="8.57421875" style="1" customWidth="1"/>
    <col min="7" max="7" width="13.57421875" style="1" customWidth="1"/>
    <col min="8" max="8" width="11.00390625" style="1" customWidth="1"/>
    <col min="9" max="9" width="8.140625" style="1" customWidth="1"/>
    <col min="10" max="10" width="10.28125" style="1" customWidth="1"/>
    <col min="11" max="11" width="10.8515625" style="1" bestFit="1" customWidth="1"/>
    <col min="12" max="12" width="13.8515625" style="1" bestFit="1" customWidth="1"/>
    <col min="13" max="13" width="12.28125" style="1" bestFit="1" customWidth="1"/>
    <col min="14" max="14" width="10.28125" style="1" customWidth="1"/>
    <col min="15" max="16384" width="9.140625" style="1" customWidth="1"/>
  </cols>
  <sheetData>
    <row r="1" spans="1:9" ht="12.75">
      <c r="A1" s="43"/>
      <c r="B1" s="43"/>
      <c r="C1" s="43"/>
      <c r="D1" s="43"/>
      <c r="E1" s="43"/>
      <c r="F1" s="43"/>
      <c r="G1" s="43"/>
      <c r="H1" s="43"/>
      <c r="I1" s="43"/>
    </row>
    <row r="2" spans="1:9" ht="12.75">
      <c r="A2" s="43"/>
      <c r="B2" s="43"/>
      <c r="C2" s="43"/>
      <c r="D2" s="43"/>
      <c r="E2" s="43"/>
      <c r="F2" s="43"/>
      <c r="G2" s="43"/>
      <c r="H2" s="43"/>
      <c r="I2" s="43"/>
    </row>
    <row r="3" spans="1:9" ht="12.75">
      <c r="A3" s="43"/>
      <c r="B3" s="43"/>
      <c r="C3" s="43"/>
      <c r="D3" s="43"/>
      <c r="E3" s="43"/>
      <c r="F3" s="43"/>
      <c r="G3" s="43"/>
      <c r="H3" s="43"/>
      <c r="I3" s="43"/>
    </row>
    <row r="4" spans="1:9" ht="18" customHeight="1">
      <c r="A4" s="43"/>
      <c r="B4" s="43"/>
      <c r="C4" s="43"/>
      <c r="D4" s="43"/>
      <c r="E4" s="43"/>
      <c r="F4" s="43"/>
      <c r="G4" s="243" t="s">
        <v>41</v>
      </c>
      <c r="H4" s="244"/>
      <c r="I4" s="244"/>
    </row>
    <row r="5" spans="1:9" ht="17.25" customHeight="1">
      <c r="A5" s="43"/>
      <c r="B5" s="43"/>
      <c r="C5" s="43"/>
      <c r="D5" s="43"/>
      <c r="E5" s="43"/>
      <c r="F5" s="43"/>
      <c r="G5" s="245"/>
      <c r="H5" s="246"/>
      <c r="I5" s="246"/>
    </row>
    <row r="6" spans="1:9" ht="22.5" customHeight="1">
      <c r="A6" s="247" t="str">
        <f>'Input Sheet'!I6</f>
        <v>Customer Name</v>
      </c>
      <c r="B6" s="248"/>
      <c r="C6" s="248"/>
      <c r="D6" s="248"/>
      <c r="E6" s="248"/>
      <c r="F6" s="248"/>
      <c r="G6" s="248"/>
      <c r="H6" s="248"/>
      <c r="I6" s="248"/>
    </row>
    <row r="7" spans="1:9" ht="20.25" customHeight="1">
      <c r="A7" s="249" t="s">
        <v>138</v>
      </c>
      <c r="B7" s="249"/>
      <c r="C7" s="249"/>
      <c r="D7" s="249"/>
      <c r="E7" s="249"/>
      <c r="F7" s="249"/>
      <c r="G7" s="249"/>
      <c r="H7" s="249"/>
      <c r="I7" s="249"/>
    </row>
    <row r="8" spans="1:9" ht="21.75" customHeight="1">
      <c r="A8" s="255" t="s">
        <v>56</v>
      </c>
      <c r="B8" s="256"/>
      <c r="C8" s="256"/>
      <c r="D8" s="256"/>
      <c r="E8" s="256"/>
      <c r="F8" s="256"/>
      <c r="G8" s="256"/>
      <c r="H8" s="256"/>
      <c r="I8" s="257"/>
    </row>
    <row r="9" spans="1:9" ht="20.25" customHeight="1">
      <c r="A9" s="260" t="s">
        <v>4</v>
      </c>
      <c r="B9" s="261"/>
      <c r="C9" s="261"/>
      <c r="D9" s="261"/>
      <c r="E9" s="262"/>
      <c r="F9" s="263" t="str">
        <f>'Input Sheet'!J7</f>
        <v>2 lamp 4ft T12HO</v>
      </c>
      <c r="G9" s="263"/>
      <c r="H9" s="266" t="s">
        <v>0</v>
      </c>
      <c r="I9" s="266"/>
    </row>
    <row r="10" spans="1:12" ht="18">
      <c r="A10" s="250" t="s">
        <v>1</v>
      </c>
      <c r="B10" s="251"/>
      <c r="C10" s="251"/>
      <c r="D10" s="251"/>
      <c r="E10" s="251"/>
      <c r="F10" s="265">
        <f>(('Input Sheet'!K20*'Input Sheet'!K7)/1000)*'Input Sheet'!I9</f>
        <v>1310.4</v>
      </c>
      <c r="G10" s="268"/>
      <c r="H10" s="265">
        <f>IF('Input Sheet'!I31="YES",(('Input Sheet'!K21*'Input Sheet'!K28)/1000)*'Input Sheet'!I8,(('Input Sheet'!K20*'Input Sheet'!K28)/1000)*'Input Sheet'!I8)</f>
        <v>288.288</v>
      </c>
      <c r="I10" s="265"/>
      <c r="L10" s="44"/>
    </row>
    <row r="11" spans="1:9" ht="18">
      <c r="A11" s="237" t="s">
        <v>2</v>
      </c>
      <c r="B11" s="238"/>
      <c r="C11" s="238"/>
      <c r="D11" s="238"/>
      <c r="E11" s="238"/>
      <c r="F11" s="265">
        <f>F10*'Input Sheet'!I19</f>
        <v>117.936</v>
      </c>
      <c r="G11" s="268"/>
      <c r="H11" s="265">
        <f>H10*'Input Sheet'!I19</f>
        <v>25.94592</v>
      </c>
      <c r="I11" s="265"/>
    </row>
    <row r="12" spans="1:11" ht="18">
      <c r="A12" s="253" t="s">
        <v>32</v>
      </c>
      <c r="B12" s="254"/>
      <c r="C12" s="254"/>
      <c r="D12" s="254"/>
      <c r="E12" s="254"/>
      <c r="F12" s="267">
        <f>F11*H19</f>
        <v>861.4146275910305</v>
      </c>
      <c r="G12" s="275"/>
      <c r="H12" s="267">
        <f>H11*H19</f>
        <v>189.5112180700267</v>
      </c>
      <c r="I12" s="267"/>
      <c r="K12" s="209"/>
    </row>
    <row r="13" spans="1:9" ht="18">
      <c r="A13" s="253" t="s">
        <v>90</v>
      </c>
      <c r="B13" s="254"/>
      <c r="C13" s="254"/>
      <c r="D13" s="254"/>
      <c r="E13" s="254"/>
      <c r="F13" s="264"/>
      <c r="G13" s="264"/>
      <c r="H13" s="265">
        <f>IF('Input Sheet'!I21="NO",0,(F10-H10)*('Input Sheet'!I22/52*'Input Sheet'!I23)/'Input Sheet'!I26)</f>
        <v>0</v>
      </c>
      <c r="I13" s="265"/>
    </row>
    <row r="14" spans="1:9" ht="18">
      <c r="A14" s="253" t="s">
        <v>91</v>
      </c>
      <c r="B14" s="254"/>
      <c r="C14" s="254"/>
      <c r="D14" s="254"/>
      <c r="E14" s="254"/>
      <c r="F14" s="264"/>
      <c r="G14" s="264"/>
      <c r="H14" s="267">
        <f>H13*'Input Sheet'!I19</f>
        <v>0</v>
      </c>
      <c r="I14" s="267"/>
    </row>
    <row r="15" spans="1:9" ht="17.25" customHeight="1">
      <c r="A15" s="258" t="s">
        <v>3</v>
      </c>
      <c r="B15" s="259"/>
      <c r="C15" s="259"/>
      <c r="D15" s="259"/>
      <c r="E15" s="259"/>
      <c r="F15" s="50"/>
      <c r="G15" s="50"/>
      <c r="H15" s="269">
        <f>(F11-H11)+H14</f>
        <v>91.99008</v>
      </c>
      <c r="I15" s="270"/>
    </row>
    <row r="16" spans="1:9" ht="15.75" customHeight="1">
      <c r="A16" s="35" t="s">
        <v>29</v>
      </c>
      <c r="B16" s="36"/>
      <c r="C16" s="36"/>
      <c r="D16" s="36"/>
      <c r="E16" s="36"/>
      <c r="F16" s="38"/>
      <c r="G16" s="50"/>
      <c r="H16" s="269">
        <f>(F12-H12)+H14*H19</f>
        <v>671.9034095210038</v>
      </c>
      <c r="I16" s="270"/>
    </row>
    <row r="17" spans="1:9" ht="6" customHeight="1">
      <c r="A17" s="4"/>
      <c r="B17" s="5"/>
      <c r="C17" s="5"/>
      <c r="D17" s="5"/>
      <c r="E17" s="5"/>
      <c r="F17" s="5"/>
      <c r="G17" s="5"/>
      <c r="H17" s="5"/>
      <c r="I17" s="6"/>
    </row>
    <row r="18" spans="1:9" ht="18" customHeight="1">
      <c r="A18" s="260" t="s">
        <v>5</v>
      </c>
      <c r="B18" s="261"/>
      <c r="C18" s="261"/>
      <c r="D18" s="261"/>
      <c r="E18" s="262"/>
      <c r="F18" s="263" t="str">
        <f>F9</f>
        <v>2 lamp 4ft T12HO</v>
      </c>
      <c r="G18" s="263"/>
      <c r="H18" s="266" t="s">
        <v>0</v>
      </c>
      <c r="I18" s="266"/>
    </row>
    <row r="19" spans="1:9" ht="18" customHeight="1">
      <c r="A19" s="250" t="s">
        <v>35</v>
      </c>
      <c r="B19" s="251"/>
      <c r="C19" s="251"/>
      <c r="D19" s="251"/>
      <c r="E19" s="252"/>
      <c r="F19" s="271">
        <f>('Input Sheet'!L7*0.55)/'Input Sheet'!K20</f>
        <v>1.5109890109890112</v>
      </c>
      <c r="G19" s="272"/>
      <c r="H19" s="273">
        <f>IF('Input Sheet'!I31="NO",'Input Sheet'!L28/'Input Sheet'!K20,'Input Sheet'!L28/'Input Sheet'!K21)</f>
        <v>7.304085500534446</v>
      </c>
      <c r="I19" s="274"/>
    </row>
    <row r="20" spans="1:9" ht="18">
      <c r="A20" s="237" t="s">
        <v>25</v>
      </c>
      <c r="B20" s="238"/>
      <c r="C20" s="238"/>
      <c r="D20" s="238"/>
      <c r="E20" s="238"/>
      <c r="F20" s="236">
        <f>(('Input Sheet'!I11+'Input Sheet'!I12)*'Input Sheet'!I9)/$F$19</f>
        <v>7.9418181818181806</v>
      </c>
      <c r="G20" s="236"/>
      <c r="H20" s="239">
        <v>0</v>
      </c>
      <c r="I20" s="240"/>
    </row>
    <row r="21" spans="1:9" ht="18">
      <c r="A21" s="237" t="s">
        <v>106</v>
      </c>
      <c r="B21" s="238"/>
      <c r="C21" s="238"/>
      <c r="D21" s="238"/>
      <c r="E21" s="238"/>
      <c r="F21" s="241">
        <f>('Input Sheet'!I13+'Input Sheet'!I15)*'Input Sheet'!I9/'Input Sheet'!I14</f>
        <v>15.6</v>
      </c>
      <c r="G21" s="242"/>
      <c r="H21" s="239">
        <v>0</v>
      </c>
      <c r="I21" s="240"/>
    </row>
    <row r="22" spans="1:9" ht="18">
      <c r="A22" s="32" t="s">
        <v>67</v>
      </c>
      <c r="B22" s="58"/>
      <c r="C22" s="58"/>
      <c r="D22" s="58"/>
      <c r="E22" s="58"/>
      <c r="F22" s="236">
        <f>'Input Sheet'!I30/$F$19</f>
        <v>0</v>
      </c>
      <c r="G22" s="236"/>
      <c r="H22" s="239">
        <v>0</v>
      </c>
      <c r="I22" s="240"/>
    </row>
    <row r="23" spans="1:10" ht="18">
      <c r="A23" s="237" t="s">
        <v>66</v>
      </c>
      <c r="B23" s="238"/>
      <c r="C23" s="238"/>
      <c r="D23" s="238"/>
      <c r="E23" s="238"/>
      <c r="F23" s="236">
        <f>('Input Sheet'!I9*'Input Sheet'!I16*'Input Sheet'!I17*'Input Sheet'!I18)/$F$19</f>
        <v>198.54545454545453</v>
      </c>
      <c r="G23" s="236"/>
      <c r="H23" s="239">
        <v>0</v>
      </c>
      <c r="I23" s="240"/>
      <c r="J23" s="45"/>
    </row>
    <row r="24" spans="1:10" ht="18">
      <c r="A24" s="258" t="s">
        <v>68</v>
      </c>
      <c r="B24" s="259"/>
      <c r="C24" s="259"/>
      <c r="D24" s="259"/>
      <c r="E24" s="259"/>
      <c r="F24" s="276"/>
      <c r="G24" s="277"/>
      <c r="H24" s="282">
        <f>SUM(F20:G23)-SUM(H20:I23)</f>
        <v>222.0872727272727</v>
      </c>
      <c r="I24" s="283"/>
      <c r="J24" s="142"/>
    </row>
    <row r="25" spans="1:10" ht="18">
      <c r="A25" s="258" t="s">
        <v>69</v>
      </c>
      <c r="B25" s="259"/>
      <c r="C25" s="259"/>
      <c r="D25" s="259"/>
      <c r="E25" s="259"/>
      <c r="F25" s="278"/>
      <c r="G25" s="279"/>
      <c r="H25" s="280">
        <f>H24*H19</f>
        <v>1622.1444285805117</v>
      </c>
      <c r="I25" s="281"/>
      <c r="J25" s="142"/>
    </row>
    <row r="26" spans="1:9" ht="8.25" customHeight="1">
      <c r="A26" s="41"/>
      <c r="B26" s="42"/>
      <c r="C26" s="5"/>
      <c r="D26" s="5"/>
      <c r="E26" s="5"/>
      <c r="F26" s="5"/>
      <c r="G26" s="5"/>
      <c r="H26" s="5"/>
      <c r="I26" s="6"/>
    </row>
    <row r="27" spans="1:9" ht="19.5" customHeight="1">
      <c r="A27" s="46"/>
      <c r="B27" s="46"/>
      <c r="C27" s="46"/>
      <c r="D27" s="46"/>
      <c r="E27" s="46"/>
      <c r="F27" s="2"/>
      <c r="G27" s="2"/>
      <c r="H27" s="47"/>
      <c r="I27" s="47"/>
    </row>
    <row r="28" spans="1:9" ht="21.75" customHeight="1">
      <c r="A28" s="255" t="s">
        <v>42</v>
      </c>
      <c r="B28" s="256"/>
      <c r="C28" s="256"/>
      <c r="D28" s="256"/>
      <c r="E28" s="256"/>
      <c r="F28" s="256"/>
      <c r="G28" s="256"/>
      <c r="H28" s="256"/>
      <c r="I28" s="257"/>
    </row>
    <row r="29" spans="1:9" ht="6" customHeight="1">
      <c r="A29" s="284"/>
      <c r="B29" s="285"/>
      <c r="C29" s="285"/>
      <c r="D29" s="285"/>
      <c r="E29" s="285"/>
      <c r="F29" s="285"/>
      <c r="G29" s="285"/>
      <c r="H29" s="285"/>
      <c r="I29" s="286"/>
    </row>
    <row r="30" spans="1:9" ht="19.5" customHeight="1">
      <c r="A30" s="48"/>
      <c r="B30" s="33"/>
      <c r="C30" s="49" t="str">
        <f>F9</f>
        <v>2 lamp 4ft T12HO</v>
      </c>
      <c r="D30" s="79" t="s">
        <v>43</v>
      </c>
      <c r="E30" s="71"/>
      <c r="F30" s="50"/>
      <c r="G30" s="298" t="s">
        <v>44</v>
      </c>
      <c r="H30" s="298"/>
      <c r="I30" s="51"/>
    </row>
    <row r="31" spans="1:9" ht="18">
      <c r="A31" s="32"/>
      <c r="B31" s="16" t="s">
        <v>51</v>
      </c>
      <c r="C31" s="14">
        <f>'Input Sheet'!I9*'Input Sheet'!I10</f>
        <v>500</v>
      </c>
      <c r="D31" s="15">
        <f>IF('Input Sheet'!I31="YES",('Input Sheet'!I29+'Input Sheet'!I33)*'Input Sheet'!I8,'Input Sheet'!I29*'Input Sheet'!I8)</f>
        <v>800</v>
      </c>
      <c r="E31" s="72"/>
      <c r="F31" s="16" t="s">
        <v>46</v>
      </c>
      <c r="G31" s="299">
        <f>C35+C36-D35</f>
        <v>671.9034095210038</v>
      </c>
      <c r="H31" s="299"/>
      <c r="I31" s="51"/>
    </row>
    <row r="32" spans="1:9" ht="18">
      <c r="A32" s="32"/>
      <c r="B32" s="16" t="s">
        <v>100</v>
      </c>
      <c r="C32" s="14">
        <v>0</v>
      </c>
      <c r="D32" s="31">
        <f>(-'Input Sheet'!I35)</f>
        <v>0</v>
      </c>
      <c r="E32" s="72"/>
      <c r="F32" s="16" t="s">
        <v>55</v>
      </c>
      <c r="G32" s="296">
        <f>C37</f>
        <v>1622.1444285805117</v>
      </c>
      <c r="H32" s="297"/>
      <c r="I32" s="51"/>
    </row>
    <row r="33" spans="1:10" ht="18">
      <c r="A33" s="32"/>
      <c r="B33" s="16" t="s">
        <v>52</v>
      </c>
      <c r="C33" s="14">
        <v>0</v>
      </c>
      <c r="D33" s="31">
        <f>(-'Input Sheet'!I36)</f>
        <v>0</v>
      </c>
      <c r="E33" s="73"/>
      <c r="F33" s="17" t="s">
        <v>47</v>
      </c>
      <c r="G33" s="300">
        <f>SUM(G31:H32)</f>
        <v>2294.0478381015155</v>
      </c>
      <c r="H33" s="300"/>
      <c r="I33" s="51"/>
      <c r="J33" s="3"/>
    </row>
    <row r="34" spans="1:11" ht="18">
      <c r="A34" s="32"/>
      <c r="B34" s="16" t="s">
        <v>53</v>
      </c>
      <c r="C34" s="14">
        <f>SUM(C31:C33)</f>
        <v>500</v>
      </c>
      <c r="D34" s="31">
        <f>SUM(D31:D33)</f>
        <v>800</v>
      </c>
      <c r="E34" s="72"/>
      <c r="F34" s="74" t="s">
        <v>45</v>
      </c>
      <c r="G34" s="301">
        <f>-D31</f>
        <v>-800</v>
      </c>
      <c r="H34" s="302"/>
      <c r="I34" s="51"/>
      <c r="J34" s="3"/>
      <c r="K34" s="52"/>
    </row>
    <row r="35" spans="1:11" ht="18">
      <c r="A35" s="32"/>
      <c r="B35" s="16" t="s">
        <v>92</v>
      </c>
      <c r="C35" s="14">
        <f>F12</f>
        <v>861.4146275910305</v>
      </c>
      <c r="D35" s="15">
        <f>H12</f>
        <v>189.5112180700267</v>
      </c>
      <c r="E35" s="72"/>
      <c r="F35" s="74" t="s">
        <v>94</v>
      </c>
      <c r="G35" s="292">
        <f>'Input Sheet'!I35</f>
        <v>0</v>
      </c>
      <c r="H35" s="293"/>
      <c r="I35" s="53"/>
      <c r="J35" s="210"/>
      <c r="K35" s="54"/>
    </row>
    <row r="36" spans="1:11" ht="18">
      <c r="A36" s="32"/>
      <c r="B36" s="16" t="s">
        <v>93</v>
      </c>
      <c r="C36" s="14">
        <f>H14*H19</f>
        <v>0</v>
      </c>
      <c r="D36" s="15">
        <v>0</v>
      </c>
      <c r="E36" s="72"/>
      <c r="F36" s="74" t="s">
        <v>50</v>
      </c>
      <c r="G36" s="292">
        <f>'Input Sheet'!I36</f>
        <v>0</v>
      </c>
      <c r="H36" s="293"/>
      <c r="I36" s="53"/>
      <c r="J36" s="3"/>
      <c r="K36" s="54"/>
    </row>
    <row r="37" spans="1:10" ht="18">
      <c r="A37" s="32"/>
      <c r="B37" s="16" t="s">
        <v>65</v>
      </c>
      <c r="C37" s="14">
        <f>H25</f>
        <v>1622.1444285805117</v>
      </c>
      <c r="D37" s="15">
        <v>0</v>
      </c>
      <c r="E37" s="71"/>
      <c r="F37" s="17" t="s">
        <v>48</v>
      </c>
      <c r="G37" s="300">
        <f>SUM(G33:H36)</f>
        <v>1494.0478381015155</v>
      </c>
      <c r="H37" s="300"/>
      <c r="I37" s="53"/>
      <c r="J37" s="3"/>
    </row>
    <row r="38" spans="1:12" ht="18">
      <c r="A38" s="32"/>
      <c r="B38" s="17" t="s">
        <v>36</v>
      </c>
      <c r="C38" s="18">
        <f>SUM(C34:C37)</f>
        <v>2983.559056171542</v>
      </c>
      <c r="D38" s="18">
        <f>SUM(D34:D37)</f>
        <v>989.5112180700266</v>
      </c>
      <c r="E38" s="169"/>
      <c r="F38" s="169"/>
      <c r="G38" s="169"/>
      <c r="H38" s="169"/>
      <c r="I38" s="170"/>
      <c r="J38" s="210"/>
      <c r="K38" s="209"/>
      <c r="L38" s="143"/>
    </row>
    <row r="39" spans="1:12" ht="17.25" customHeight="1">
      <c r="A39" s="32"/>
      <c r="B39" s="17"/>
      <c r="C39" s="39"/>
      <c r="D39" s="39"/>
      <c r="E39" s="71"/>
      <c r="F39" s="17"/>
      <c r="G39" s="40"/>
      <c r="H39" s="40"/>
      <c r="I39" s="53"/>
      <c r="J39" s="3"/>
      <c r="K39" s="45"/>
      <c r="L39" s="143"/>
    </row>
    <row r="40" spans="1:10" ht="18">
      <c r="A40" s="32"/>
      <c r="B40" s="287" t="s">
        <v>64</v>
      </c>
      <c r="C40" s="288"/>
      <c r="D40" s="288"/>
      <c r="E40" s="288"/>
      <c r="F40" s="289"/>
      <c r="G40" s="290">
        <f>(D34-C34)/(G33/H19)</f>
        <v>0.9551787080315316</v>
      </c>
      <c r="H40" s="291"/>
      <c r="I40" s="53"/>
      <c r="J40" s="3"/>
    </row>
    <row r="41" spans="1:11" ht="18">
      <c r="A41" s="75"/>
      <c r="B41" s="287" t="s">
        <v>58</v>
      </c>
      <c r="C41" s="288"/>
      <c r="D41" s="288"/>
      <c r="E41" s="288"/>
      <c r="F41" s="289"/>
      <c r="G41" s="290">
        <f>D34/(G33/H19)</f>
        <v>2.5471432214174174</v>
      </c>
      <c r="H41" s="291"/>
      <c r="I41" s="76"/>
      <c r="J41" s="3"/>
      <c r="K41" s="45"/>
    </row>
    <row r="42" spans="1:10" ht="18">
      <c r="A42" s="32"/>
      <c r="B42" s="10"/>
      <c r="C42" s="55"/>
      <c r="D42" s="55"/>
      <c r="E42" s="71"/>
      <c r="F42" s="77"/>
      <c r="G42" s="56"/>
      <c r="H42" s="57"/>
      <c r="I42" s="53"/>
      <c r="J42" s="3"/>
    </row>
    <row r="43" spans="1:11" ht="18">
      <c r="A43" s="32"/>
      <c r="B43" s="33"/>
      <c r="C43" s="33"/>
      <c r="D43" s="58"/>
      <c r="E43" s="58"/>
      <c r="F43" s="58"/>
      <c r="G43" s="58"/>
      <c r="H43" s="58"/>
      <c r="I43" s="53"/>
      <c r="J43" s="3"/>
      <c r="K43" s="59"/>
    </row>
    <row r="44" spans="1:12" ht="18">
      <c r="A44" s="32"/>
      <c r="B44" s="33"/>
      <c r="C44" s="33"/>
      <c r="D44" s="33"/>
      <c r="E44" s="33"/>
      <c r="F44" s="50"/>
      <c r="G44" s="50"/>
      <c r="H44" s="55"/>
      <c r="I44" s="53"/>
      <c r="J44" s="3"/>
      <c r="K44" s="60"/>
      <c r="L44" s="61"/>
    </row>
    <row r="45" spans="1:11" ht="18">
      <c r="A45" s="32"/>
      <c r="B45" s="33"/>
      <c r="C45" s="33"/>
      <c r="D45" s="33"/>
      <c r="E45" s="33"/>
      <c r="F45" s="50"/>
      <c r="G45" s="50"/>
      <c r="H45" s="55"/>
      <c r="I45" s="53"/>
      <c r="J45" s="3"/>
      <c r="K45" s="59"/>
    </row>
    <row r="46" spans="1:11" ht="12.75" customHeight="1">
      <c r="A46" s="32"/>
      <c r="B46" s="33"/>
      <c r="C46" s="33"/>
      <c r="D46" s="33"/>
      <c r="E46" s="33"/>
      <c r="F46" s="50"/>
      <c r="G46" s="50"/>
      <c r="H46" s="55"/>
      <c r="I46" s="53"/>
      <c r="J46" s="3"/>
      <c r="K46" s="59"/>
    </row>
    <row r="47" spans="1:10" ht="18">
      <c r="A47" s="32"/>
      <c r="B47" s="33"/>
      <c r="C47" s="33"/>
      <c r="D47" s="33"/>
      <c r="E47" s="33"/>
      <c r="F47" s="50"/>
      <c r="G47" s="50"/>
      <c r="H47" s="55"/>
      <c r="I47" s="53"/>
      <c r="J47" s="3"/>
    </row>
    <row r="48" spans="1:10" ht="18">
      <c r="A48" s="32"/>
      <c r="B48" s="33"/>
      <c r="C48" s="33"/>
      <c r="D48" s="33"/>
      <c r="E48" s="33"/>
      <c r="F48" s="50"/>
      <c r="G48" s="50"/>
      <c r="H48" s="55"/>
      <c r="I48" s="53"/>
      <c r="J48" s="3"/>
    </row>
    <row r="49" spans="1:10" ht="18">
      <c r="A49" s="32"/>
      <c r="B49" s="33"/>
      <c r="C49" s="33"/>
      <c r="D49" s="33"/>
      <c r="E49" s="33"/>
      <c r="F49" s="50"/>
      <c r="G49" s="50"/>
      <c r="H49" s="55"/>
      <c r="I49" s="53"/>
      <c r="J49" s="3"/>
    </row>
    <row r="50" spans="1:16" ht="18">
      <c r="A50" s="32"/>
      <c r="B50" s="33"/>
      <c r="C50" s="33"/>
      <c r="D50" s="33"/>
      <c r="E50" s="33"/>
      <c r="F50" s="50"/>
      <c r="G50" s="50"/>
      <c r="H50" s="55"/>
      <c r="I50" s="53"/>
      <c r="J50" s="3"/>
      <c r="P50" s="78" t="s">
        <v>57</v>
      </c>
    </row>
    <row r="51" spans="1:10" ht="18">
      <c r="A51" s="32"/>
      <c r="B51" s="33"/>
      <c r="C51" s="33"/>
      <c r="D51" s="33"/>
      <c r="E51" s="33"/>
      <c r="F51" s="50"/>
      <c r="G51" s="50"/>
      <c r="H51" s="55"/>
      <c r="I51" s="53"/>
      <c r="J51" s="3"/>
    </row>
    <row r="52" spans="1:10" ht="18">
      <c r="A52" s="32"/>
      <c r="B52" s="33"/>
      <c r="C52" s="33"/>
      <c r="D52" s="33"/>
      <c r="E52" s="33"/>
      <c r="F52" s="50"/>
      <c r="G52" s="50"/>
      <c r="H52" s="55"/>
      <c r="I52" s="53"/>
      <c r="J52" s="3"/>
    </row>
    <row r="53" spans="1:9" ht="12" customHeight="1">
      <c r="A53" s="32"/>
      <c r="B53" s="33"/>
      <c r="C53" s="33"/>
      <c r="D53" s="33"/>
      <c r="E53" s="33"/>
      <c r="F53" s="50"/>
      <c r="G53" s="50"/>
      <c r="H53" s="55"/>
      <c r="I53" s="53"/>
    </row>
    <row r="54" spans="1:11" ht="5.25" customHeight="1">
      <c r="A54" s="32"/>
      <c r="B54" s="33"/>
      <c r="C54" s="33"/>
      <c r="D54" s="33"/>
      <c r="E54" s="33"/>
      <c r="F54" s="50"/>
      <c r="G54" s="50"/>
      <c r="H54" s="55"/>
      <c r="I54" s="53"/>
      <c r="J54" s="62"/>
      <c r="K54" s="59"/>
    </row>
    <row r="55" spans="1:11" ht="20.25" customHeight="1">
      <c r="A55" s="32"/>
      <c r="B55" s="33"/>
      <c r="C55" s="33"/>
      <c r="D55" s="33"/>
      <c r="E55" s="33"/>
      <c r="F55" s="33"/>
      <c r="G55" s="33"/>
      <c r="H55" s="63"/>
      <c r="I55" s="64"/>
      <c r="J55" s="62"/>
      <c r="K55" s="59"/>
    </row>
    <row r="56" spans="1:10" s="59" customFormat="1" ht="21.75" customHeight="1">
      <c r="A56" s="65"/>
      <c r="B56" s="66"/>
      <c r="C56" s="67"/>
      <c r="D56" s="68"/>
      <c r="E56" s="68"/>
      <c r="F56" s="68"/>
      <c r="G56" s="66"/>
      <c r="H56" s="66"/>
      <c r="I56" s="69"/>
      <c r="J56" s="62"/>
    </row>
    <row r="57" spans="1:9" s="59" customFormat="1" ht="12.75" customHeight="1">
      <c r="A57" s="30"/>
      <c r="B57" s="30"/>
      <c r="C57" s="2"/>
      <c r="D57" s="70"/>
      <c r="E57" s="70"/>
      <c r="F57" s="70"/>
      <c r="G57" s="30"/>
      <c r="H57" s="30"/>
      <c r="I57" s="30"/>
    </row>
    <row r="58" spans="1:9" ht="21" customHeight="1">
      <c r="A58" s="255" t="s">
        <v>12</v>
      </c>
      <c r="B58" s="256"/>
      <c r="C58" s="256"/>
      <c r="D58" s="256"/>
      <c r="E58" s="256"/>
      <c r="F58" s="256"/>
      <c r="G58" s="256"/>
      <c r="H58" s="256"/>
      <c r="I58" s="257"/>
    </row>
    <row r="59" spans="1:9" ht="6.75" customHeight="1">
      <c r="A59" s="19"/>
      <c r="B59" s="20"/>
      <c r="C59" s="20"/>
      <c r="D59" s="20"/>
      <c r="E59" s="21"/>
      <c r="F59" s="21"/>
      <c r="G59" s="22"/>
      <c r="H59" s="23"/>
      <c r="I59" s="24"/>
    </row>
    <row r="60" spans="1:9" ht="16.5" customHeight="1">
      <c r="A60" s="294" t="s">
        <v>9</v>
      </c>
      <c r="B60" s="295"/>
      <c r="C60" s="7">
        <f>((F10-H10)+H13)*1.54</f>
        <v>1574.05248</v>
      </c>
      <c r="D60" s="36"/>
      <c r="E60" s="295" t="s">
        <v>7</v>
      </c>
      <c r="F60" s="295"/>
      <c r="G60" s="295"/>
      <c r="H60" s="8">
        <f>C60/11470</f>
        <v>0.13723212554489975</v>
      </c>
      <c r="I60" s="34"/>
    </row>
    <row r="61" spans="1:9" ht="16.5" customHeight="1">
      <c r="A61" s="294" t="s">
        <v>10</v>
      </c>
      <c r="B61" s="295"/>
      <c r="C61" s="7">
        <f>C60/2000</f>
        <v>0.78702624</v>
      </c>
      <c r="D61" s="36"/>
      <c r="E61" s="37"/>
      <c r="F61" s="37"/>
      <c r="G61" s="37"/>
      <c r="H61" s="9"/>
      <c r="I61" s="34"/>
    </row>
    <row r="62" spans="1:9" ht="17.25" customHeight="1">
      <c r="A62" s="35"/>
      <c r="B62" s="36"/>
      <c r="C62" s="25"/>
      <c r="D62" s="36"/>
      <c r="E62" s="295" t="s">
        <v>8</v>
      </c>
      <c r="F62" s="295"/>
      <c r="G62" s="295"/>
      <c r="H62" s="11">
        <f>C60/8066</f>
        <v>0.19514660054549965</v>
      </c>
      <c r="I62" s="34"/>
    </row>
    <row r="63" spans="1:9" ht="15.75" customHeight="1">
      <c r="A63" s="294" t="s">
        <v>11</v>
      </c>
      <c r="B63" s="295"/>
      <c r="C63" s="7">
        <f>C60/2.06</f>
        <v>764.103145631068</v>
      </c>
      <c r="D63" s="37"/>
      <c r="E63" s="10"/>
      <c r="F63" s="10"/>
      <c r="G63" s="10"/>
      <c r="H63" s="9"/>
      <c r="I63" s="34"/>
    </row>
    <row r="64" spans="1:9" ht="18">
      <c r="A64" s="294" t="s">
        <v>10</v>
      </c>
      <c r="B64" s="295"/>
      <c r="C64" s="7">
        <f>C63/2000</f>
        <v>0.382051572815534</v>
      </c>
      <c r="D64" s="37"/>
      <c r="E64" s="10"/>
      <c r="F64" s="10"/>
      <c r="G64" s="10" t="s">
        <v>49</v>
      </c>
      <c r="H64" s="11">
        <f>C60/10660</f>
        <v>0.14765970731707317</v>
      </c>
      <c r="I64" s="34"/>
    </row>
    <row r="65" spans="1:9" ht="6" customHeight="1">
      <c r="A65" s="26"/>
      <c r="B65" s="27"/>
      <c r="C65" s="28"/>
      <c r="D65" s="27"/>
      <c r="E65" s="12"/>
      <c r="F65" s="12"/>
      <c r="G65" s="12"/>
      <c r="H65" s="13"/>
      <c r="I65" s="6"/>
    </row>
    <row r="66" spans="1:9" ht="12.75">
      <c r="A66" s="29" t="s">
        <v>6</v>
      </c>
      <c r="B66" s="30"/>
      <c r="C66" s="30"/>
      <c r="D66" s="30"/>
      <c r="E66" s="30"/>
      <c r="F66" s="30"/>
      <c r="G66" s="30"/>
      <c r="H66" s="30"/>
      <c r="I66" s="30"/>
    </row>
  </sheetData>
  <sheetProtection password="D833" sheet="1"/>
  <mergeCells count="68">
    <mergeCell ref="A64:B64"/>
    <mergeCell ref="G30:H30"/>
    <mergeCell ref="G31:H31"/>
    <mergeCell ref="G33:H33"/>
    <mergeCell ref="G34:H34"/>
    <mergeCell ref="G35:H35"/>
    <mergeCell ref="G37:H37"/>
    <mergeCell ref="A58:I58"/>
    <mergeCell ref="A60:B60"/>
    <mergeCell ref="E62:G62"/>
    <mergeCell ref="A29:I29"/>
    <mergeCell ref="B41:F41"/>
    <mergeCell ref="B40:F40"/>
    <mergeCell ref="G40:H40"/>
    <mergeCell ref="G36:H36"/>
    <mergeCell ref="A63:B63"/>
    <mergeCell ref="E60:G60"/>
    <mergeCell ref="G41:H41"/>
    <mergeCell ref="A61:B61"/>
    <mergeCell ref="G32:H32"/>
    <mergeCell ref="F24:G25"/>
    <mergeCell ref="A28:I28"/>
    <mergeCell ref="A25:E25"/>
    <mergeCell ref="H25:I25"/>
    <mergeCell ref="A24:E24"/>
    <mergeCell ref="H24:I24"/>
    <mergeCell ref="F20:G20"/>
    <mergeCell ref="H20:I20"/>
    <mergeCell ref="F9:G9"/>
    <mergeCell ref="H15:I15"/>
    <mergeCell ref="F19:G19"/>
    <mergeCell ref="H19:I19"/>
    <mergeCell ref="F12:G12"/>
    <mergeCell ref="H16:I16"/>
    <mergeCell ref="F11:G11"/>
    <mergeCell ref="H9:I9"/>
    <mergeCell ref="F10:G10"/>
    <mergeCell ref="H11:I11"/>
    <mergeCell ref="H12:I12"/>
    <mergeCell ref="A9:E9"/>
    <mergeCell ref="A11:E11"/>
    <mergeCell ref="H10:I10"/>
    <mergeCell ref="A13:E13"/>
    <mergeCell ref="F13:G13"/>
    <mergeCell ref="H13:I13"/>
    <mergeCell ref="A20:E20"/>
    <mergeCell ref="F22:G22"/>
    <mergeCell ref="H22:I22"/>
    <mergeCell ref="H18:I18"/>
    <mergeCell ref="A14:E14"/>
    <mergeCell ref="F14:G14"/>
    <mergeCell ref="H14:I14"/>
    <mergeCell ref="G4:I5"/>
    <mergeCell ref="A6:I6"/>
    <mergeCell ref="A7:I7"/>
    <mergeCell ref="A19:E19"/>
    <mergeCell ref="A12:E12"/>
    <mergeCell ref="A8:I8"/>
    <mergeCell ref="A10:E10"/>
    <mergeCell ref="A15:E15"/>
    <mergeCell ref="A18:E18"/>
    <mergeCell ref="F18:G18"/>
    <mergeCell ref="F23:G23"/>
    <mergeCell ref="A23:E23"/>
    <mergeCell ref="H23:I23"/>
    <mergeCell ref="A21:E21"/>
    <mergeCell ref="H21:I21"/>
    <mergeCell ref="F21:G21"/>
  </mergeCells>
  <printOptions horizontalCentered="1"/>
  <pageMargins left="0.25" right="0.25" top="0.25" bottom="0.25" header="0.25" footer="0.25"/>
  <pageSetup horizontalDpi="600" verticalDpi="600" orientation="portrait"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e3a4a</dc:creator>
  <cp:keywords/>
  <dc:description/>
  <cp:lastModifiedBy>Devon Jenkins</cp:lastModifiedBy>
  <cp:lastPrinted>2012-11-28T17:27:37Z</cp:lastPrinted>
  <dcterms:created xsi:type="dcterms:W3CDTF">2008-10-01T17:35:03Z</dcterms:created>
  <dcterms:modified xsi:type="dcterms:W3CDTF">2015-08-19T22:13:16Z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