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6" windowWidth="18408" windowHeight="5484" tabRatio="700"/>
  </bookViews>
  <sheets>
    <sheet name="Controls Input Sheet" sheetId="10" r:id="rId1"/>
    <sheet name="Input Sheet" sheetId="7" r:id="rId2"/>
    <sheet name="Savings and TCO Summary" sheetId="6" r:id="rId3"/>
    <sheet name="Scenarios" sheetId="13" r:id="rId4"/>
  </sheets>
  <definedNames>
    <definedName name="_xlnm.Print_Area" localSheetId="0">'Controls Input Sheet'!$A$1:$B$19</definedName>
    <definedName name="_xlnm.Print_Area" localSheetId="1">'Input Sheet'!$B$1:$I$77</definedName>
    <definedName name="_xlnm.Print_Area" localSheetId="2">'Savings and TCO Summary'!$A$1:$AB$68</definedName>
    <definedName name="_xlnm.Print_Area" localSheetId="3">Scenarios!$A$1:$H$28</definedName>
  </definedNames>
  <calcPr calcId="145621"/>
</workbook>
</file>

<file path=xl/calcChain.xml><?xml version="1.0" encoding="utf-8"?>
<calcChain xmlns="http://schemas.openxmlformats.org/spreadsheetml/2006/main">
  <c r="E27" i="13" l="1"/>
  <c r="H22" i="13"/>
  <c r="H24" i="13" s="1"/>
  <c r="H26" i="13" s="1"/>
  <c r="H21" i="13"/>
  <c r="E21" i="13"/>
  <c r="B21" i="13"/>
  <c r="H20" i="13"/>
  <c r="H27" i="13" s="1"/>
  <c r="H28" i="13" s="1"/>
  <c r="E20" i="13"/>
  <c r="E22" i="13" s="1"/>
  <c r="E24" i="13" s="1"/>
  <c r="E26" i="13" s="1"/>
  <c r="B20" i="13"/>
  <c r="B27" i="13" s="1"/>
  <c r="E28" i="13" l="1"/>
  <c r="B22" i="13"/>
  <c r="B24" i="13" s="1"/>
  <c r="B26" i="13" s="1"/>
  <c r="B28" i="13" s="1"/>
  <c r="L30" i="6" l="1"/>
  <c r="J30" i="6"/>
  <c r="J33" i="6"/>
  <c r="L33" i="6"/>
  <c r="N30" i="6"/>
  <c r="N33" i="6" s="1"/>
  <c r="N19" i="6"/>
  <c r="I41" i="7" l="1"/>
  <c r="I27" i="7" l="1"/>
  <c r="D27" i="6" l="1"/>
  <c r="E27" i="6" l="1"/>
  <c r="N9" i="6" l="1"/>
  <c r="L9" i="6"/>
  <c r="N10" i="6" s="1"/>
  <c r="L10" i="6" l="1"/>
  <c r="Y53" i="7"/>
  <c r="Y52" i="7"/>
  <c r="Y51" i="7"/>
  <c r="Y50" i="7"/>
  <c r="Y49" i="7"/>
  <c r="L32" i="7"/>
  <c r="N52" i="7" l="1"/>
  <c r="L25" i="7" s="1"/>
  <c r="N53" i="7"/>
  <c r="N51" i="7"/>
  <c r="N50" i="7"/>
  <c r="N49" i="7"/>
  <c r="I42" i="7" l="1"/>
  <c r="AE49" i="7" l="1"/>
  <c r="AE50" i="7"/>
  <c r="AE51" i="7"/>
  <c r="AE52" i="7"/>
  <c r="AE48" i="7"/>
  <c r="T50" i="7"/>
  <c r="T51" i="7"/>
  <c r="T52" i="7"/>
  <c r="T53" i="7"/>
  <c r="T49" i="7"/>
  <c r="M32" i="7" l="1"/>
  <c r="K42" i="7" l="1"/>
  <c r="I43" i="7" l="1"/>
  <c r="AD16" i="10" l="1"/>
  <c r="AD17" i="10" s="1"/>
  <c r="AD18" i="10" s="1"/>
  <c r="AD19" i="10" s="1"/>
  <c r="AD20" i="10" s="1"/>
  <c r="AD21" i="10" s="1"/>
  <c r="AD22" i="10" s="1"/>
  <c r="AD23" i="10" s="1"/>
  <c r="K41" i="7" l="1"/>
  <c r="K25" i="7"/>
  <c r="K32" i="7"/>
  <c r="J25" i="7"/>
  <c r="M25" i="7" s="1"/>
  <c r="J32" i="7"/>
  <c r="K43" i="7" l="1"/>
  <c r="K17" i="7" l="1"/>
  <c r="N6" i="6" l="1"/>
  <c r="B10" i="10"/>
  <c r="L15" i="6"/>
  <c r="I44" i="7"/>
  <c r="N15" i="6"/>
  <c r="J6" i="6"/>
  <c r="J7" i="6" s="1"/>
  <c r="J15" i="6"/>
  <c r="L6" i="6"/>
  <c r="N7" i="6" s="1"/>
  <c r="M41" i="7"/>
  <c r="J8" i="6" l="1"/>
  <c r="D31" i="6" s="1"/>
  <c r="N11" i="6"/>
  <c r="S15" i="6"/>
  <c r="L7" i="6"/>
  <c r="L8" i="6" s="1"/>
  <c r="L32" i="6"/>
  <c r="L31" i="6"/>
  <c r="E29" i="6"/>
  <c r="E28" i="6"/>
  <c r="J9" i="6"/>
  <c r="U21" i="6"/>
  <c r="T21" i="6"/>
  <c r="E31" i="6" l="1"/>
  <c r="N12" i="6"/>
  <c r="N27" i="6" s="1"/>
  <c r="E30" i="6"/>
  <c r="E34" i="6" l="1"/>
  <c r="N8" i="6"/>
  <c r="D28" i="6" l="1"/>
  <c r="C27" i="6" l="1"/>
  <c r="J32" i="6" l="1"/>
  <c r="J31" i="6"/>
  <c r="J22" i="7" l="1"/>
  <c r="J21" i="7"/>
  <c r="J23" i="7" l="1"/>
  <c r="I23" i="7" s="1"/>
  <c r="L7" i="7" l="1"/>
  <c r="K7" i="7"/>
  <c r="H6" i="6" s="1"/>
  <c r="J7" i="7"/>
  <c r="N7" i="7" s="1"/>
  <c r="N25" i="7" l="1"/>
  <c r="H5" i="6" l="1"/>
  <c r="H14" i="6" s="1"/>
  <c r="A2" i="6"/>
  <c r="H15" i="6" l="1"/>
  <c r="H16" i="6" s="1"/>
  <c r="C30" i="6"/>
  <c r="C26" i="6"/>
  <c r="H17" i="6" l="1"/>
  <c r="H18" i="6"/>
  <c r="H7" i="6"/>
  <c r="J10" i="6"/>
  <c r="C32" i="6" s="1"/>
  <c r="D29" i="6"/>
  <c r="D30" i="6" s="1"/>
  <c r="N21" i="6" l="1"/>
  <c r="N28" i="6" s="1"/>
  <c r="N29" i="6" s="1"/>
  <c r="J19" i="6"/>
  <c r="D34" i="6"/>
  <c r="L11" i="6"/>
  <c r="L12" i="6" s="1"/>
  <c r="H8" i="6"/>
  <c r="C31" i="6" s="1"/>
  <c r="J11" i="6"/>
  <c r="J12" i="6" s="1"/>
  <c r="L20" i="6"/>
  <c r="J20" i="6"/>
  <c r="J21" i="6" s="1"/>
  <c r="J28" i="6" l="1"/>
  <c r="C33" i="6"/>
  <c r="C34" i="6" s="1"/>
  <c r="L21" i="6"/>
  <c r="L28" i="6" s="1"/>
  <c r="J27" i="6"/>
  <c r="G39" i="6"/>
  <c r="L27" i="6"/>
  <c r="J29" i="6" l="1"/>
  <c r="G36" i="6" s="1"/>
  <c r="C52" i="6"/>
  <c r="O52" i="6" s="1"/>
  <c r="L29" i="6"/>
  <c r="G38" i="6" s="1"/>
  <c r="C62" i="6"/>
  <c r="C55" i="6" l="1"/>
  <c r="C56" i="6" s="1"/>
  <c r="G37" i="6"/>
  <c r="O54" i="6"/>
  <c r="C63" i="6"/>
  <c r="O64" i="6"/>
  <c r="O66" i="6"/>
  <c r="C65" i="6"/>
  <c r="C66" i="6" s="1"/>
  <c r="O62" i="6"/>
  <c r="C53" i="6"/>
  <c r="O56" i="6" l="1"/>
</calcChain>
</file>

<file path=xl/comments1.xml><?xml version="1.0" encoding="utf-8"?>
<comments xmlns="http://schemas.openxmlformats.org/spreadsheetml/2006/main">
  <authors>
    <author>Windows User</author>
    <author>Bhal, Hemendra</author>
  </authors>
  <commentList>
    <comment ref="I20" authorId="0">
      <text>
        <r>
          <rPr>
            <sz val="9"/>
            <color indexed="81"/>
            <rFont val="Tahoma"/>
            <family val="2"/>
          </rPr>
          <t xml:space="preserve">Typical Value for most lighting systems
</t>
        </r>
      </text>
    </comment>
    <comment ref="I23" authorId="0">
      <text>
        <r>
          <rPr>
            <sz val="9"/>
            <color indexed="81"/>
            <rFont val="Tahoma"/>
            <family val="2"/>
          </rPr>
          <t>This is based off Theoretical max efficiency * 10%. Typical COP values range from 2-4 depending upon type of system and heating/cooling load. COP is defined as the cooling or heating load handled by unit for every unit of power consumed (Efficiency of HVAC system)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Anshuman Bhargava:</t>
        </r>
        <r>
          <rPr>
            <sz val="9"/>
            <color indexed="81"/>
            <rFont val="Tahoma"/>
            <family val="2"/>
          </rPr>
          <t xml:space="preserve">
This is based off Theoretical max efficiency * 10%. Typical COP values range from 2-4 depending upon type of system and heating/cooling load. COP is defined as the cooling or heating load handled by unit for every unit of power consumed (Efficiency of HVAC system)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Cannot exceed 149F or 65C operating ambient temperature</t>
        </r>
      </text>
    </comment>
    <comment ref="I27" authorId="1">
      <text>
        <r>
          <rPr>
            <b/>
            <sz val="9"/>
            <color indexed="81"/>
            <rFont val="Tahoma"/>
            <family val="2"/>
          </rPr>
          <t>Bhal, Hemendra:</t>
        </r>
        <r>
          <rPr>
            <sz val="9"/>
            <color indexed="81"/>
            <rFont val="Tahoma"/>
            <family val="2"/>
          </rPr>
          <t xml:space="preserve">
Using $200/ LED change. ~1-2 Hours (Employee)*$80/hour</t>
        </r>
      </text>
    </comment>
  </commentList>
</comments>
</file>

<file path=xl/comments2.xml><?xml version="1.0" encoding="utf-8"?>
<comments xmlns="http://schemas.openxmlformats.org/spreadsheetml/2006/main">
  <authors>
    <author>EBS Desktop Services</author>
  </authors>
  <commentList>
    <comment ref="H15" authorId="0">
      <text>
        <r>
          <rPr>
            <sz val="9"/>
            <color indexed="81"/>
            <rFont val="Tahoma"/>
            <family val="2"/>
          </rPr>
          <t xml:space="preserve">50% of HID fixtures fail after reaching its economic rated life
</t>
        </r>
      </text>
    </comment>
  </commentList>
</comments>
</file>

<file path=xl/sharedStrings.xml><?xml version="1.0" encoding="utf-8"?>
<sst xmlns="http://schemas.openxmlformats.org/spreadsheetml/2006/main" count="475" uniqueCount="242">
  <si>
    <t>Annual energy consumption (kWhr)</t>
  </si>
  <si>
    <t>Annual energy cost ($)</t>
  </si>
  <si>
    <t>Annual Energy Savings ($)</t>
  </si>
  <si>
    <t>Energy Savings</t>
  </si>
  <si>
    <t>*Based on Environmental Protection Agency (EPA) emissions factor assumptions.</t>
  </si>
  <si>
    <t>Fewer Cars on the Road:</t>
  </si>
  <si>
    <t>Acres of Trees Planted:</t>
  </si>
  <si>
    <t>CO2 Emissions (lbs):</t>
  </si>
  <si>
    <t>(tons):</t>
  </si>
  <si>
    <t>Coal Emissions (lbs):</t>
  </si>
  <si>
    <t>Input Watts</t>
  </si>
  <si>
    <t>LED Luminaire Cost</t>
  </si>
  <si>
    <t>A</t>
  </si>
  <si>
    <t>B</t>
  </si>
  <si>
    <t>C</t>
  </si>
  <si>
    <t>Lamp Source</t>
  </si>
  <si>
    <t>CHART A</t>
  </si>
  <si>
    <t>Enter the labor rate ($ per Hour)</t>
  </si>
  <si>
    <t>What is the energy cost on site ? ( $ / kWhr )</t>
  </si>
  <si>
    <t>Ave Lamp Life</t>
  </si>
  <si>
    <t>Input Data</t>
  </si>
  <si>
    <t>Operating Hours Per Year</t>
  </si>
  <si>
    <t>Annual Cost of Replacement Lamps ($)</t>
  </si>
  <si>
    <t>Enter lighting hours of operation per day (12, 24 etc)</t>
  </si>
  <si>
    <t>Many Harsh and Hazardous locations require 2 person teams</t>
  </si>
  <si>
    <t>Use the fully loaded labor rate</t>
  </si>
  <si>
    <t>Energy Savings over  Life of the LED System ($)</t>
  </si>
  <si>
    <t>Cost of replacement lamps in ($)</t>
  </si>
  <si>
    <t>Cost of disposal per lamp ($)</t>
  </si>
  <si>
    <t>Customer or Project Name</t>
  </si>
  <si>
    <t>Notes:</t>
  </si>
  <si>
    <t>Years of Maintenance Free Operation</t>
  </si>
  <si>
    <t>Total Cost of Ownership</t>
  </si>
  <si>
    <t>Time per fixture for lamp maintenance (Hours)</t>
  </si>
  <si>
    <t>How many people are required for lamp maintenance ?</t>
  </si>
  <si>
    <t>Be sure replacement time includes time for approvals, down time, paperwork, lock out tag out, man lift, etc.</t>
  </si>
  <si>
    <t>Total Cost of Ownership Comparison</t>
  </si>
  <si>
    <t>LED</t>
  </si>
  <si>
    <t>Initial Investment:</t>
  </si>
  <si>
    <t>Energy Savings:</t>
  </si>
  <si>
    <t>Total Savings:</t>
  </si>
  <si>
    <t>Total $ Return:</t>
  </si>
  <si>
    <t># Housholds Annual Electricity Usage:</t>
  </si>
  <si>
    <t xml:space="preserve">Estimated Tax Rebate: </t>
  </si>
  <si>
    <t xml:space="preserve">Initial Investment </t>
  </si>
  <si>
    <t>Tax Rebate</t>
  </si>
  <si>
    <t>Net Investment</t>
  </si>
  <si>
    <t xml:space="preserve">Enter a cost of the existing luminaire ($ each) </t>
  </si>
  <si>
    <t>Payback Period on the Entire LED Installation (Years)</t>
  </si>
  <si>
    <t>D</t>
  </si>
  <si>
    <t>E</t>
  </si>
  <si>
    <t>100W HPS</t>
  </si>
  <si>
    <t>150W HPS</t>
  </si>
  <si>
    <t>100W MV</t>
  </si>
  <si>
    <t>175WMV</t>
  </si>
  <si>
    <t>F</t>
  </si>
  <si>
    <t>250W MV</t>
  </si>
  <si>
    <t>G</t>
  </si>
  <si>
    <t>70W MH</t>
  </si>
  <si>
    <t>H</t>
  </si>
  <si>
    <t>100W MH</t>
  </si>
  <si>
    <t>J</t>
  </si>
  <si>
    <t>150W MH</t>
  </si>
  <si>
    <t>K</t>
  </si>
  <si>
    <t>175W MH</t>
  </si>
  <si>
    <t>L</t>
  </si>
  <si>
    <t>M</t>
  </si>
  <si>
    <t>250W MH</t>
  </si>
  <si>
    <t>320W MH</t>
  </si>
  <si>
    <t>200W HPS</t>
  </si>
  <si>
    <t>250W HPS</t>
  </si>
  <si>
    <t>N</t>
  </si>
  <si>
    <t>Traditional Lamp Source (Click Cell to Select Lamp Source)</t>
  </si>
  <si>
    <t>LED Light Source (Click Cell to Select LED Source)</t>
  </si>
  <si>
    <t>Customer Name</t>
  </si>
  <si>
    <t>O</t>
  </si>
  <si>
    <t>400W MH</t>
  </si>
  <si>
    <t>I</t>
  </si>
  <si>
    <t>6 Lamp 54W T5</t>
  </si>
  <si>
    <t>Payback Period on the Incremental LED Cost (Years)</t>
  </si>
  <si>
    <t>Total Maintenance Costs</t>
  </si>
  <si>
    <t>Annual Labor Costs ($)</t>
  </si>
  <si>
    <t>Annual Fixed Maintenance Costs</t>
  </si>
  <si>
    <t>Annual Maintenance Savings ($)</t>
  </si>
  <si>
    <t>Q</t>
  </si>
  <si>
    <t>R</t>
  </si>
  <si>
    <t>T</t>
  </si>
  <si>
    <t>S</t>
  </si>
  <si>
    <t>U</t>
  </si>
  <si>
    <t>V</t>
  </si>
  <si>
    <t>70W  PSMH</t>
  </si>
  <si>
    <t>100W PSMH</t>
  </si>
  <si>
    <t>150W PSMH</t>
  </si>
  <si>
    <t>175W PSMH</t>
  </si>
  <si>
    <t>250W PSMH</t>
  </si>
  <si>
    <t>320W PSMH</t>
  </si>
  <si>
    <t>400W PSMH</t>
  </si>
  <si>
    <t>Fraction of year of the cooling season (in weeks)</t>
  </si>
  <si>
    <t>Lighting load met by mechanical cooling (How much of lighting system's heat must be removed by cooling)</t>
  </si>
  <si>
    <t xml:space="preserve">    Ambient Temperature (deg F)</t>
  </si>
  <si>
    <t>Coefficient of Performance of cooling system (COP)</t>
  </si>
  <si>
    <t>Y</t>
  </si>
  <si>
    <t>Is LED lighting being used in an air conditioned area requiring cooling (If Y, then input ROWS 13-17)</t>
  </si>
  <si>
    <t>YES</t>
  </si>
  <si>
    <t>NO</t>
  </si>
  <si>
    <t xml:space="preserve">    Temperature to be maintained within the air conditioned building (deg F)</t>
  </si>
  <si>
    <t>Estimated  Utility rebate for the project ($)</t>
  </si>
  <si>
    <t>Manufacturing or process downtime opportunity cost due to loss of lighting ($)</t>
  </si>
  <si>
    <t xml:space="preserve">Other Fixed Cost Assosciated with Lamp Maintenance (Lift Rental, Scaffolding etc) </t>
  </si>
  <si>
    <t>Estimated EPACT (Section 179D) tax savings for the project ($)</t>
  </si>
  <si>
    <t xml:space="preserve">Ambient Temp </t>
  </si>
  <si>
    <t>LED Case Temp</t>
  </si>
  <si>
    <t>Fixture Life (Hrs)</t>
  </si>
  <si>
    <t>25C</t>
  </si>
  <si>
    <t>40C</t>
  </si>
  <si>
    <t>55C</t>
  </si>
  <si>
    <t>Air Cooling energy savings due to switching over to LED lighting (Kwhr/yr)</t>
  </si>
  <si>
    <t>Air Cooling energy savings due to switching over to LED lighting ($/yr)</t>
  </si>
  <si>
    <t>Total Lighting Energy Costs</t>
  </si>
  <si>
    <t>Incremental Air Cooling Energy Costs</t>
  </si>
  <si>
    <t>Estimated Utility Rebate:</t>
  </si>
  <si>
    <t>W</t>
  </si>
  <si>
    <t>X</t>
  </si>
  <si>
    <t>Z</t>
  </si>
  <si>
    <t>55W Induction</t>
  </si>
  <si>
    <t>85W Induction</t>
  </si>
  <si>
    <t>165W Induction</t>
  </si>
  <si>
    <t>Utility Rebate</t>
  </si>
  <si>
    <t>Input quantity of LED fixtures used for the project ?</t>
  </si>
  <si>
    <t>Input quantity of HID/HPS fixtures being replaced or retrofitted ?</t>
  </si>
  <si>
    <t>Maximum average temperature to which LED fixture will be exposed throughout the year (deg F)</t>
  </si>
  <si>
    <t>65C</t>
  </si>
  <si>
    <t>Connected LED Light Source (Click Cell to Select LED Source)</t>
  </si>
  <si>
    <t>Scheduling</t>
  </si>
  <si>
    <t>Occupancy</t>
  </si>
  <si>
    <t>Day Light Harvesting</t>
  </si>
  <si>
    <t>fixture</t>
  </si>
  <si>
    <t>hours per year</t>
  </si>
  <si>
    <t>wattage</t>
  </si>
  <si>
    <t>kwh</t>
  </si>
  <si>
    <t>savings hours</t>
  </si>
  <si>
    <t>Dimming</t>
  </si>
  <si>
    <t>VMV 3L - 26W</t>
  </si>
  <si>
    <t>VMV 5L - 42W</t>
  </si>
  <si>
    <t>VMV  7L - 58W</t>
  </si>
  <si>
    <t>VMV  9L - 74W</t>
  </si>
  <si>
    <t>VMV  11L-90W</t>
  </si>
  <si>
    <t>Dimming Level</t>
  </si>
  <si>
    <t>Daylight Harvesting Option</t>
  </si>
  <si>
    <t>Indoor</t>
  </si>
  <si>
    <t>Outdoor</t>
  </si>
  <si>
    <t>Connected Indoor</t>
  </si>
  <si>
    <t>Connected Outdoor</t>
  </si>
  <si>
    <r>
      <rPr>
        <b/>
        <i/>
        <sz val="10"/>
        <rFont val="Arial Narrow"/>
        <family val="2"/>
      </rPr>
      <t>Scheduled ON/OFF:</t>
    </r>
    <r>
      <rPr>
        <i/>
        <sz val="10"/>
        <rFont val="Arial Narrow"/>
        <family val="2"/>
      </rPr>
      <t xml:space="preserve"> management of time scheduling to optimize energy usage</t>
    </r>
  </si>
  <si>
    <r>
      <rPr>
        <b/>
        <i/>
        <sz val="10"/>
        <rFont val="Arial Narrow"/>
        <family val="2"/>
      </rPr>
      <t>Occupancy sensing:</t>
    </r>
    <r>
      <rPr>
        <i/>
        <sz val="10"/>
        <rFont val="Arial Narrow"/>
        <family val="2"/>
      </rPr>
      <t xml:space="preserve"> motion sensing to monitor occupancy of a site or for control of infrequently used areas </t>
    </r>
  </si>
  <si>
    <r>
      <rPr>
        <b/>
        <i/>
        <sz val="10"/>
        <rFont val="Arial Narrow"/>
        <family val="2"/>
      </rPr>
      <t>Daylight harvesting:</t>
    </r>
    <r>
      <rPr>
        <i/>
        <sz val="10"/>
        <rFont val="Arial Narrow"/>
        <family val="2"/>
      </rPr>
      <t xml:space="preserve"> photo sensing measures ambient light levels and adjusts light output accordingly, saving energy and extending fixture life</t>
    </r>
  </si>
  <si>
    <t>Equivilant Environmental Impact (LED)*</t>
  </si>
  <si>
    <t>Equivilant Environmental Impact (Connected Lighting)*</t>
  </si>
  <si>
    <t>1. Sum of Control inputs to be &lt;=24 hours</t>
  </si>
  <si>
    <t>Area Location</t>
  </si>
  <si>
    <t>Total Operating Hours</t>
  </si>
  <si>
    <t>Annual Kwh consumption</t>
  </si>
  <si>
    <t># LEDs</t>
  </si>
  <si>
    <t>Day Light Harvesting %Dimmed Level</t>
  </si>
  <si>
    <t>Total Annual Consumption (Hours)</t>
  </si>
  <si>
    <t>Per Kwh cost of energy</t>
  </si>
  <si>
    <t>Scheduling (nonoperational hours)</t>
  </si>
  <si>
    <t>Occupancy (operational hours)</t>
  </si>
  <si>
    <t>Indoor Factory</t>
  </si>
  <si>
    <t>Occupancy - % Time Lights ON</t>
  </si>
  <si>
    <t>Scheduling (Saving Hours/ Day)</t>
  </si>
  <si>
    <t>Occupancy (Saving Hours/ Day)</t>
  </si>
  <si>
    <t>Day Light harvesting (Saving Hours/ Day)</t>
  </si>
  <si>
    <t>Annual Energy Savings from Controls Solution</t>
  </si>
  <si>
    <t>VMV7L Connected Lighting</t>
  </si>
  <si>
    <t>Column1</t>
  </si>
  <si>
    <t>Column2</t>
  </si>
  <si>
    <t>Model</t>
  </si>
  <si>
    <t>Connected Lighting Champ VMV LED Fixture Lifetime Analysis (INDOOR)/(90% Reliability)</t>
  </si>
  <si>
    <t>Connected Lighting Champ VMV LED Fixture Lifetime Analysis (OUTDOOR)/(90% Reliability)</t>
  </si>
  <si>
    <t>Champ VMV LED Fixture Lifetime Analysis - INDOOR (90% Reliability)</t>
  </si>
  <si>
    <t>Champ VMV LED Fixture Lifetime Analysis - OUTDOOR (90% Reliability)</t>
  </si>
  <si>
    <t>LED Indoor</t>
  </si>
  <si>
    <t>LED outdoor</t>
  </si>
  <si>
    <t>LED INDOOR</t>
  </si>
  <si>
    <t>LED OUTDOOR</t>
  </si>
  <si>
    <t>Ambient Temp F</t>
  </si>
  <si>
    <t>Ambient Temp C</t>
  </si>
  <si>
    <t>Overall Energy Savings</t>
  </si>
  <si>
    <t>Commissioning Cost</t>
  </si>
  <si>
    <t>Cost Associated with Drawing/ Engineering Services (Preinstallation)</t>
  </si>
  <si>
    <t>Other Fixed Cost Associated with Solution Hardware installation (Gateway, Server, Software-Windows)</t>
  </si>
  <si>
    <t>Input Quantity of Sensor Units</t>
  </si>
  <si>
    <t>Input Quantity of Control only Units</t>
  </si>
  <si>
    <t>Energy Cost over life of lighting System</t>
  </si>
  <si>
    <t>Total Cost of Energy with Connected lighting/ Year</t>
  </si>
  <si>
    <t>Energy savings with Connected Solution/ Year</t>
  </si>
  <si>
    <t>2. Use of control input to be based upon realiastic business scenario, Each control input for calculation purposes is a stand alone input (except for % inputs).</t>
  </si>
  <si>
    <t>Total LED Cost with 24 hour operation/ Year</t>
  </si>
  <si>
    <t>Total Savings(Over assumed 24 hours of operation)</t>
  </si>
  <si>
    <t>LED Installation Cost (Total Labor for installing all LED Fixtures)</t>
  </si>
  <si>
    <t>Investment, Labor &amp; Material Savings:</t>
  </si>
  <si>
    <t>Reinvestment &amp; Maintenance Savings</t>
  </si>
  <si>
    <t>Reinvestment Savings</t>
  </si>
  <si>
    <t>Maintenance &amp; Reinvestment Savings over Life of Product/ System</t>
  </si>
  <si>
    <t>Energy &amp; Maintenance Savings ( For the life of Connected Lighting System)</t>
  </si>
  <si>
    <t>Sensor Unit Cost</t>
  </si>
  <si>
    <t>Control Unit Cost</t>
  </si>
  <si>
    <t>Notes for inputting data aove</t>
  </si>
  <si>
    <t>Are lights going to be Indoor or Outdoor?</t>
  </si>
  <si>
    <r>
      <t>How many hours is area scheduled to be non operational (</t>
    </r>
    <r>
      <rPr>
        <b/>
        <i/>
        <sz val="8"/>
        <color rgb="FF0070C0"/>
        <rFont val="Arial"/>
        <family val="2"/>
      </rPr>
      <t>Scheduling</t>
    </r>
    <r>
      <rPr>
        <b/>
        <i/>
        <sz val="8"/>
        <rFont val="Arial"/>
        <family val="2"/>
      </rPr>
      <t>)?</t>
    </r>
  </si>
  <si>
    <r>
      <t>How many hours is area going to have irregular/ low frequency traffic during operational hours (</t>
    </r>
    <r>
      <rPr>
        <b/>
        <i/>
        <sz val="8"/>
        <color rgb="FF0070C0"/>
        <rFont val="Arial"/>
        <family val="2"/>
      </rPr>
      <t>Occupancy</t>
    </r>
    <r>
      <rPr>
        <b/>
        <i/>
        <sz val="8"/>
        <rFont val="Arial"/>
        <family val="2"/>
      </rPr>
      <t>)?</t>
    </r>
  </si>
  <si>
    <r>
      <t>% of time lights will be ON in irregular/ low frequency traffic areas during operational hours (</t>
    </r>
    <r>
      <rPr>
        <b/>
        <i/>
        <sz val="8"/>
        <color rgb="FF0070C0"/>
        <rFont val="Arial"/>
        <family val="2"/>
      </rPr>
      <t>Occupancy</t>
    </r>
    <r>
      <rPr>
        <b/>
        <i/>
        <sz val="8"/>
        <rFont val="Arial"/>
        <family val="2"/>
      </rPr>
      <t>)</t>
    </r>
  </si>
  <si>
    <r>
      <t>How many hours Day Light is present in operational areas (</t>
    </r>
    <r>
      <rPr>
        <b/>
        <i/>
        <sz val="8"/>
        <color rgb="FF0070C0"/>
        <rFont val="Arial"/>
        <family val="2"/>
      </rPr>
      <t>Day Light Harvesting</t>
    </r>
    <r>
      <rPr>
        <b/>
        <i/>
        <sz val="8"/>
        <rFont val="Arial"/>
        <family val="2"/>
      </rPr>
      <t>)</t>
    </r>
  </si>
  <si>
    <t>For operational areas where daylight is present, what is the assumed average "dimmed %"  level throughout the day? 
(70% dimmed = 70% light savings</t>
  </si>
  <si>
    <t>3. Scheduling - enables site to schedule time when lights will be On or Off.  Fill in this field with Time-Hours/day lights will be OFF</t>
  </si>
  <si>
    <t xml:space="preserve">4. Occupancy - Number of hours in a day area is expected to be vacant (during operational hours). </t>
  </si>
  <si>
    <t>5. Daylight harvesting - Daylight harvesting senses natural light in the area to adjust light output of fixtures</t>
  </si>
  <si>
    <t>6. Dimming- Hours of day dimming is used to reduce light output levels - Can be set to % light output needed in facility</t>
  </si>
  <si>
    <t>Design Parameters</t>
  </si>
  <si>
    <t>Connected Lighting Design Parameters</t>
  </si>
  <si>
    <t>Enter the input data for your project into the yellow cells below.  
When finished, click on the "Input Sheet" tab to proceed</t>
  </si>
  <si>
    <t>Champ® VMV LED Connected Lighting - ROI Calculator</t>
  </si>
  <si>
    <r>
      <rPr>
        <b/>
        <sz val="14"/>
        <color rgb="FF002060"/>
        <rFont val="Arial"/>
        <family val="2"/>
      </rPr>
      <t>Connected LED</t>
    </r>
    <r>
      <rPr>
        <b/>
        <sz val="14"/>
        <color theme="1"/>
        <rFont val="Arial"/>
        <family val="2"/>
      </rPr>
      <t xml:space="preserve">
 Over HID</t>
    </r>
  </si>
  <si>
    <r>
      <t xml:space="preserve">Total $ Savings </t>
    </r>
    <r>
      <rPr>
        <b/>
        <sz val="14"/>
        <color rgb="FF002060"/>
        <rFont val="Arial"/>
        <family val="2"/>
      </rPr>
      <t>Connected</t>
    </r>
    <r>
      <rPr>
        <b/>
        <sz val="14"/>
        <color theme="1"/>
        <rFont val="Arial"/>
        <family val="2"/>
      </rPr>
      <t xml:space="preserve"> over HID</t>
    </r>
  </si>
  <si>
    <r>
      <t xml:space="preserve">Total $ Savings </t>
    </r>
    <r>
      <rPr>
        <b/>
        <sz val="14"/>
        <color rgb="FF002060"/>
        <rFont val="Arial"/>
        <family val="2"/>
      </rPr>
      <t>Connected</t>
    </r>
    <r>
      <rPr>
        <b/>
        <sz val="14"/>
        <color theme="1"/>
        <rFont val="Arial"/>
        <family val="2"/>
      </rPr>
      <t xml:space="preserve"> over LED</t>
    </r>
  </si>
  <si>
    <t xml:space="preserve"> LED 
Over HID</t>
  </si>
  <si>
    <r>
      <rPr>
        <b/>
        <sz val="14"/>
        <color rgb="FF002060"/>
        <rFont val="Arial"/>
        <family val="2"/>
      </rPr>
      <t xml:space="preserve">Connected LED </t>
    </r>
    <r>
      <rPr>
        <b/>
        <sz val="14"/>
        <color theme="1"/>
        <rFont val="Arial"/>
        <family val="2"/>
      </rPr>
      <t xml:space="preserve">
Over LED</t>
    </r>
  </si>
  <si>
    <t>Total $ Savings 
 LED Over HID</t>
  </si>
  <si>
    <t>Enter the input data for your project into the yellow cells below.  When finished, click on the "Savings and TCO Summary" tab to view your realized cost savings and ROI</t>
  </si>
  <si>
    <t>CONNECTED LED</t>
  </si>
  <si>
    <r>
      <t xml:space="preserve">Payback Period on the Incremental </t>
    </r>
    <r>
      <rPr>
        <b/>
        <sz val="14"/>
        <color rgb="FF002060"/>
        <rFont val="Arial"/>
        <family val="2"/>
      </rPr>
      <t>Connected LED</t>
    </r>
    <r>
      <rPr>
        <b/>
        <sz val="14"/>
        <rFont val="Arial"/>
        <family val="2"/>
      </rPr>
      <t xml:space="preserve"> Cost over LED(Years) </t>
    </r>
  </si>
  <si>
    <r>
      <t xml:space="preserve">Payback Period on the Incremental </t>
    </r>
    <r>
      <rPr>
        <b/>
        <sz val="14"/>
        <color rgb="FF002060"/>
        <rFont val="Arial"/>
        <family val="2"/>
      </rPr>
      <t>Connected LED</t>
    </r>
    <r>
      <rPr>
        <b/>
        <sz val="14"/>
        <rFont val="Arial"/>
        <family val="2"/>
      </rPr>
      <t xml:space="preserve"> Cost over HID (Years)</t>
    </r>
  </si>
  <si>
    <t>Champ® VMV LED Connected Lighting - Application scenarios</t>
  </si>
  <si>
    <t>EXAMPLE 1</t>
  </si>
  <si>
    <t>EXAMPLE 2</t>
  </si>
  <si>
    <t>EXAMPLE 3</t>
  </si>
  <si>
    <r>
      <rPr>
        <b/>
        <sz val="9"/>
        <rFont val="Arial"/>
        <family val="2"/>
      </rPr>
      <t>Factory indoor location with two shift operation</t>
    </r>
    <r>
      <rPr>
        <sz val="9"/>
        <rFont val="Arial"/>
        <family val="2"/>
      </rPr>
      <t xml:space="preserve">
•  8 hours operational with 100% of lights ON
•  8 hours utilizing </t>
    </r>
    <r>
      <rPr>
        <sz val="9"/>
        <color rgb="FF0070C0"/>
        <rFont val="Arial"/>
        <family val="2"/>
      </rPr>
      <t>Daylight harvesting</t>
    </r>
    <r>
      <rPr>
        <sz val="9"/>
        <rFont val="Arial"/>
        <family val="2"/>
      </rPr>
      <t xml:space="preserve"> at 70% </t>
    </r>
    <r>
      <rPr>
        <sz val="9"/>
        <color rgb="FF0070C0"/>
        <rFont val="Arial"/>
        <family val="2"/>
      </rPr>
      <t xml:space="preserve">dimming
</t>
    </r>
    <r>
      <rPr>
        <sz val="9"/>
        <rFont val="Arial"/>
        <family val="2"/>
      </rPr>
      <t xml:space="preserve">•  8 hours lights OFF with </t>
    </r>
    <r>
      <rPr>
        <sz val="9"/>
        <color rgb="FF0070C0"/>
        <rFont val="Arial"/>
        <family val="2"/>
      </rPr>
      <t>scheduling</t>
    </r>
  </si>
  <si>
    <r>
      <rPr>
        <b/>
        <sz val="9"/>
        <rFont val="Arial"/>
        <family val="2"/>
      </rPr>
      <t>Factory outdoor location with 16 hours continuous operation</t>
    </r>
    <r>
      <rPr>
        <sz val="9"/>
        <rFont val="Arial"/>
        <family val="2"/>
      </rPr>
      <t xml:space="preserve">
•  16 hours operational with 100% of lights ON
• 8 hours utilizing </t>
    </r>
    <r>
      <rPr>
        <sz val="9"/>
        <color rgb="FF0070C0"/>
        <rFont val="Arial"/>
        <family val="2"/>
      </rPr>
      <t>Daylight harvesting</t>
    </r>
    <r>
      <rPr>
        <sz val="9"/>
        <rFont val="Arial"/>
        <family val="2"/>
      </rPr>
      <t xml:space="preserve"> at 80% </t>
    </r>
    <r>
      <rPr>
        <sz val="9"/>
        <color rgb="FF0070C0"/>
        <rFont val="Arial"/>
        <family val="2"/>
      </rPr>
      <t>dimming</t>
    </r>
  </si>
  <si>
    <r>
      <rPr>
        <b/>
        <sz val="9"/>
        <rFont val="Arial"/>
        <family val="2"/>
      </rPr>
      <t>Warehouse indoor location with two shift operation</t>
    </r>
    <r>
      <rPr>
        <sz val="9"/>
        <rFont val="Arial"/>
        <family val="2"/>
      </rPr>
      <t xml:space="preserve">
•  16 hours operational with 25% of lights ON
•  8 hours lights OFF with </t>
    </r>
    <r>
      <rPr>
        <sz val="9"/>
        <color rgb="FF0070C0"/>
        <rFont val="Arial"/>
        <family val="2"/>
      </rPr>
      <t>scheduling</t>
    </r>
    <r>
      <rPr>
        <sz val="9"/>
        <rFont val="Arial"/>
        <family val="2"/>
      </rPr>
      <t xml:space="preserve"> </t>
    </r>
  </si>
  <si>
    <t>Indoor Warehouse</t>
  </si>
  <si>
    <t>Day Light Harvesting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</si>
</sst>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;\(#,##0.0\)"/>
    <numFmt numFmtId="167" formatCode="0.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theme="3" tint="-0.249977111117893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.5"/>
      <name val="Arial Narrow"/>
      <family val="2"/>
    </font>
    <font>
      <b/>
      <u/>
      <sz val="8"/>
      <color indexed="62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color theme="0"/>
      <name val="Arial"/>
      <family val="2"/>
    </font>
    <font>
      <b/>
      <sz val="8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i/>
      <sz val="8"/>
      <color rgb="FF0070C0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i/>
      <sz val="8"/>
      <color rgb="FF0070C0"/>
      <name val="Arial"/>
      <family val="2"/>
    </font>
    <font>
      <b/>
      <sz val="14"/>
      <color rgb="FF002060"/>
      <name val="Arial"/>
      <family val="2"/>
    </font>
    <font>
      <b/>
      <sz val="16"/>
      <color indexed="9"/>
      <name val="Arial"/>
      <family val="2"/>
    </font>
    <font>
      <b/>
      <sz val="12"/>
      <color rgb="FF00206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70C0"/>
      <name val="Arial"/>
      <family val="2"/>
    </font>
    <font>
      <b/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D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4BC7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5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" fillId="17" borderId="4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4" fillId="0" borderId="0"/>
    <xf numFmtId="4" fontId="49" fillId="5" borderId="49" applyNumberFormat="0" applyProtection="0">
      <alignment vertical="center"/>
    </xf>
    <xf numFmtId="4" fontId="50" fillId="5" borderId="49" applyNumberFormat="0" applyProtection="0">
      <alignment vertical="center"/>
    </xf>
    <xf numFmtId="4" fontId="49" fillId="5" borderId="49" applyNumberFormat="0" applyProtection="0">
      <alignment horizontal="left" vertical="center" indent="1"/>
    </xf>
    <xf numFmtId="4" fontId="49" fillId="5" borderId="49" applyNumberFormat="0" applyProtection="0">
      <alignment horizontal="left" vertical="center" indent="1"/>
    </xf>
    <xf numFmtId="0" fontId="4" fillId="17" borderId="49" applyNumberFormat="0" applyProtection="0">
      <alignment horizontal="left" vertical="center" indent="1"/>
    </xf>
    <xf numFmtId="4" fontId="49" fillId="18" borderId="49" applyNumberFormat="0" applyProtection="0">
      <alignment horizontal="right" vertical="center"/>
    </xf>
    <xf numFmtId="4" fontId="49" fillId="19" borderId="49" applyNumberFormat="0" applyProtection="0">
      <alignment horizontal="right" vertical="center"/>
    </xf>
    <xf numFmtId="4" fontId="49" fillId="20" borderId="49" applyNumberFormat="0" applyProtection="0">
      <alignment horizontal="right" vertical="center"/>
    </xf>
    <xf numFmtId="4" fontId="49" fillId="21" borderId="49" applyNumberFormat="0" applyProtection="0">
      <alignment horizontal="right" vertical="center"/>
    </xf>
    <xf numFmtId="4" fontId="49" fillId="22" borderId="49" applyNumberFormat="0" applyProtection="0">
      <alignment horizontal="right" vertical="center"/>
    </xf>
    <xf numFmtId="4" fontId="49" fillId="23" borderId="49" applyNumberFormat="0" applyProtection="0">
      <alignment horizontal="right" vertical="center"/>
    </xf>
    <xf numFmtId="4" fontId="49" fillId="24" borderId="49" applyNumberFormat="0" applyProtection="0">
      <alignment horizontal="right" vertical="center"/>
    </xf>
    <xf numFmtId="4" fontId="49" fillId="25" borderId="49" applyNumberFormat="0" applyProtection="0">
      <alignment horizontal="right" vertical="center"/>
    </xf>
    <xf numFmtId="4" fontId="49" fillId="26" borderId="49" applyNumberFormat="0" applyProtection="0">
      <alignment horizontal="right" vertical="center"/>
    </xf>
    <xf numFmtId="4" fontId="51" fillId="27" borderId="49" applyNumberFormat="0" applyProtection="0">
      <alignment horizontal="left" vertical="center" indent="1"/>
    </xf>
    <xf numFmtId="4" fontId="49" fillId="28" borderId="50" applyNumberFormat="0" applyProtection="0">
      <alignment horizontal="left" vertical="center" indent="1"/>
    </xf>
    <xf numFmtId="4" fontId="52" fillId="29" borderId="0" applyNumberFormat="0" applyProtection="0">
      <alignment horizontal="left" vertical="center" indent="1"/>
    </xf>
    <xf numFmtId="0" fontId="4" fillId="17" borderId="49" applyNumberFormat="0" applyProtection="0">
      <alignment horizontal="left" vertical="center" indent="1"/>
    </xf>
    <xf numFmtId="4" fontId="49" fillId="28" borderId="49" applyNumberFormat="0" applyProtection="0">
      <alignment horizontal="left" vertical="center" indent="1"/>
    </xf>
    <xf numFmtId="4" fontId="49" fillId="30" borderId="49" applyNumberFormat="0" applyProtection="0">
      <alignment horizontal="left" vertical="center" indent="1"/>
    </xf>
    <xf numFmtId="0" fontId="4" fillId="30" borderId="49" applyNumberFormat="0" applyProtection="0">
      <alignment horizontal="left" vertical="center" indent="1"/>
    </xf>
    <xf numFmtId="0" fontId="4" fillId="30" borderId="49" applyNumberFormat="0" applyProtection="0">
      <alignment horizontal="left" vertical="center" indent="1"/>
    </xf>
    <xf numFmtId="0" fontId="4" fillId="31" borderId="49" applyNumberFormat="0" applyProtection="0">
      <alignment horizontal="left" vertical="center" indent="1"/>
    </xf>
    <xf numFmtId="0" fontId="4" fillId="31" borderId="49" applyNumberFormat="0" applyProtection="0">
      <alignment horizontal="left" vertical="center" indent="1"/>
    </xf>
    <xf numFmtId="0" fontId="4" fillId="3" borderId="49" applyNumberFormat="0" applyProtection="0">
      <alignment horizontal="left" vertical="center" indent="1"/>
    </xf>
    <xf numFmtId="0" fontId="4" fillId="3" borderId="49" applyNumberFormat="0" applyProtection="0">
      <alignment horizontal="left" vertical="center" indent="1"/>
    </xf>
    <xf numFmtId="0" fontId="4" fillId="17" borderId="49" applyNumberFormat="0" applyProtection="0">
      <alignment horizontal="left" vertical="center" indent="1"/>
    </xf>
    <xf numFmtId="0" fontId="4" fillId="17" borderId="49" applyNumberFormat="0" applyProtection="0">
      <alignment horizontal="left" vertical="center" indent="1"/>
    </xf>
    <xf numFmtId="4" fontId="49" fillId="32" borderId="49" applyNumberFormat="0" applyProtection="0">
      <alignment vertical="center"/>
    </xf>
    <xf numFmtId="4" fontId="50" fillId="32" borderId="49" applyNumberFormat="0" applyProtection="0">
      <alignment vertical="center"/>
    </xf>
    <xf numFmtId="4" fontId="49" fillId="32" borderId="49" applyNumberFormat="0" applyProtection="0">
      <alignment horizontal="left" vertical="center" indent="1"/>
    </xf>
    <xf numFmtId="4" fontId="49" fillId="32" borderId="49" applyNumberFormat="0" applyProtection="0">
      <alignment horizontal="left" vertical="center" indent="1"/>
    </xf>
    <xf numFmtId="4" fontId="49" fillId="28" borderId="49" applyNumberFormat="0" applyProtection="0">
      <alignment horizontal="right" vertical="center"/>
    </xf>
    <xf numFmtId="4" fontId="50" fillId="28" borderId="49" applyNumberFormat="0" applyProtection="0">
      <alignment horizontal="right" vertical="center"/>
    </xf>
    <xf numFmtId="0" fontId="4" fillId="17" borderId="49" applyNumberFormat="0" applyProtection="0">
      <alignment horizontal="left" vertical="center" indent="1"/>
    </xf>
    <xf numFmtId="0" fontId="53" fillId="0" borderId="0"/>
    <xf numFmtId="4" fontId="54" fillId="28" borderId="49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37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3" fontId="12" fillId="2" borderId="2" xfId="1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5" fontId="8" fillId="2" borderId="0" xfId="0" applyNumberFormat="1" applyFont="1" applyFill="1" applyBorder="1" applyAlignment="1">
      <alignment horizontal="center" vertical="center"/>
    </xf>
    <xf numFmtId="6" fontId="7" fillId="6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9" fontId="7" fillId="2" borderId="0" xfId="2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165" fontId="8" fillId="6" borderId="0" xfId="0" applyNumberFormat="1" applyFont="1" applyFill="1" applyBorder="1" applyAlignment="1">
      <alignment horizontal="center" vertical="center"/>
    </xf>
    <xf numFmtId="6" fontId="7" fillId="0" borderId="0" xfId="0" applyNumberFormat="1" applyFont="1" applyFill="1" applyBorder="1" applyAlignment="1">
      <alignment horizontal="center" vertical="center"/>
    </xf>
    <xf numFmtId="6" fontId="0" fillId="6" borderId="0" xfId="0" applyNumberForma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10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5" fillId="6" borderId="0" xfId="0" applyFont="1" applyFill="1"/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3" fillId="6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3" fontId="27" fillId="6" borderId="0" xfId="0" applyNumberFormat="1" applyFont="1" applyFill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7" fontId="5" fillId="0" borderId="0" xfId="0" applyNumberFormat="1" applyFont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7" fillId="6" borderId="0" xfId="0" applyFont="1" applyFill="1" applyAlignment="1">
      <alignment horizontal="left" vertical="center"/>
    </xf>
    <xf numFmtId="3" fontId="27" fillId="6" borderId="0" xfId="1" applyNumberFormat="1" applyFont="1" applyFill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5" fillId="6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wrapText="1"/>
    </xf>
    <xf numFmtId="0" fontId="5" fillId="6" borderId="16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6" borderId="16" xfId="0" applyFont="1" applyFill="1" applyBorder="1"/>
    <xf numFmtId="0" fontId="5" fillId="6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6" borderId="15" xfId="0" applyFont="1" applyFill="1" applyBorder="1"/>
    <xf numFmtId="0" fontId="30" fillId="6" borderId="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6" borderId="17" xfId="0" applyFont="1" applyFill="1" applyBorder="1"/>
    <xf numFmtId="0" fontId="5" fillId="6" borderId="22" xfId="0" applyFont="1" applyFill="1" applyBorder="1"/>
    <xf numFmtId="0" fontId="24" fillId="4" borderId="2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/>
    <xf numFmtId="0" fontId="25" fillId="6" borderId="27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6" borderId="31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2" fontId="29" fillId="6" borderId="0" xfId="0" applyNumberFormat="1" applyFont="1" applyFill="1" applyAlignment="1">
      <alignment horizontal="center" vertical="center"/>
    </xf>
    <xf numFmtId="4" fontId="33" fillId="10" borderId="25" xfId="0" applyNumberFormat="1" applyFont="1" applyFill="1" applyBorder="1" applyAlignment="1" applyProtection="1">
      <alignment horizontal="center" vertical="center"/>
      <protection locked="0"/>
    </xf>
    <xf numFmtId="4" fontId="33" fillId="10" borderId="3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wrapText="1"/>
    </xf>
    <xf numFmtId="0" fontId="5" fillId="2" borderId="11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35" fillId="11" borderId="11" xfId="0" applyFont="1" applyFill="1" applyBorder="1" applyAlignment="1">
      <alignment horizontal="left" vertical="center" indent="4"/>
    </xf>
    <xf numFmtId="0" fontId="35" fillId="11" borderId="3" xfId="0" applyFont="1" applyFill="1" applyBorder="1" applyAlignment="1">
      <alignment horizontal="left" vertical="center" indent="4"/>
    </xf>
    <xf numFmtId="0" fontId="35" fillId="11" borderId="9" xfId="0" applyFont="1" applyFill="1" applyBorder="1" applyAlignment="1">
      <alignment horizontal="left" vertical="center" indent="4"/>
    </xf>
    <xf numFmtId="0" fontId="36" fillId="10" borderId="25" xfId="0" applyFont="1" applyFill="1" applyBorder="1" applyAlignment="1" applyProtection="1">
      <alignment horizontal="center" vertical="center"/>
      <protection locked="0"/>
    </xf>
    <xf numFmtId="4" fontId="36" fillId="10" borderId="25" xfId="0" applyNumberFormat="1" applyFont="1" applyFill="1" applyBorder="1" applyAlignment="1" applyProtection="1">
      <alignment horizontal="center" vertical="center"/>
      <protection locked="0"/>
    </xf>
    <xf numFmtId="3" fontId="36" fillId="10" borderId="25" xfId="0" applyNumberFormat="1" applyFont="1" applyFill="1" applyBorder="1" applyAlignment="1" applyProtection="1">
      <alignment horizontal="center" vertical="center"/>
      <protection locked="0"/>
    </xf>
    <xf numFmtId="0" fontId="35" fillId="6" borderId="3" xfId="0" applyFont="1" applyFill="1" applyBorder="1" applyAlignment="1">
      <alignment horizontal="left" vertical="center" indent="4"/>
    </xf>
    <xf numFmtId="0" fontId="35" fillId="6" borderId="9" xfId="0" applyFont="1" applyFill="1" applyBorder="1" applyAlignment="1">
      <alignment horizontal="left" vertical="center" indent="4"/>
    </xf>
    <xf numFmtId="0" fontId="23" fillId="6" borderId="0" xfId="0" applyFont="1" applyFill="1" applyBorder="1" applyAlignment="1">
      <alignment horizontal="center" vertical="center"/>
    </xf>
    <xf numFmtId="1" fontId="5" fillId="6" borderId="0" xfId="0" applyNumberFormat="1" applyFont="1" applyFill="1" applyBorder="1" applyAlignment="1">
      <alignment horizontal="center" vertical="center"/>
    </xf>
    <xf numFmtId="1" fontId="5" fillId="6" borderId="0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left" vertical="center" indent="1"/>
    </xf>
    <xf numFmtId="0" fontId="5" fillId="6" borderId="9" xfId="0" applyFont="1" applyFill="1" applyBorder="1" applyAlignment="1">
      <alignment horizontal="left" vertical="center" indent="1"/>
    </xf>
    <xf numFmtId="0" fontId="24" fillId="4" borderId="13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0" fontId="23" fillId="3" borderId="2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9" fontId="36" fillId="10" borderId="25" xfId="0" applyNumberFormat="1" applyFont="1" applyFill="1" applyBorder="1" applyAlignment="1" applyProtection="1">
      <alignment horizontal="center" vertical="center"/>
    </xf>
    <xf numFmtId="0" fontId="5" fillId="0" borderId="21" xfId="0" applyFont="1" applyBorder="1"/>
    <xf numFmtId="0" fontId="5" fillId="0" borderId="0" xfId="0" applyFont="1" applyBorder="1"/>
    <xf numFmtId="49" fontId="5" fillId="12" borderId="24" xfId="0" applyNumberFormat="1" applyFont="1" applyFill="1" applyBorder="1" applyAlignment="1">
      <alignment horizontal="center" vertical="center"/>
    </xf>
    <xf numFmtId="1" fontId="5" fillId="12" borderId="9" xfId="0" applyNumberFormat="1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3" fontId="0" fillId="12" borderId="2" xfId="0" applyNumberForma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0" fillId="0" borderId="0" xfId="0" applyBorder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9" fontId="3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9" fontId="23" fillId="5" borderId="25" xfId="3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23" fillId="3" borderId="2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3" fontId="42" fillId="6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23" fillId="3" borderId="2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5" fillId="0" borderId="2" xfId="0" applyFont="1" applyBorder="1"/>
    <xf numFmtId="0" fontId="5" fillId="0" borderId="0" xfId="0" applyFont="1" applyFill="1" applyAlignment="1">
      <alignment horizontal="center"/>
    </xf>
    <xf numFmtId="0" fontId="5" fillId="0" borderId="14" xfId="0" applyFont="1" applyBorder="1"/>
    <xf numFmtId="0" fontId="0" fillId="6" borderId="14" xfId="0" applyFill="1" applyBorder="1" applyAlignment="1">
      <alignment horizontal="center" wrapText="1"/>
    </xf>
    <xf numFmtId="0" fontId="33" fillId="6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4" fontId="40" fillId="16" borderId="42" xfId="2" applyFont="1" applyFill="1" applyBorder="1"/>
    <xf numFmtId="0" fontId="28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wrapText="1"/>
    </xf>
    <xf numFmtId="9" fontId="23" fillId="6" borderId="0" xfId="3" applyFont="1" applyFill="1" applyAlignment="1">
      <alignment horizontal="center" vertical="center"/>
    </xf>
    <xf numFmtId="0" fontId="5" fillId="6" borderId="11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left" vertical="center" indent="1"/>
    </xf>
    <xf numFmtId="0" fontId="5" fillId="6" borderId="9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left" vertical="center" indent="4"/>
    </xf>
    <xf numFmtId="9" fontId="23" fillId="6" borderId="22" xfId="3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Border="1" applyAlignment="1">
      <alignment horizontal="center" vertical="center"/>
    </xf>
    <xf numFmtId="5" fontId="8" fillId="2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2" borderId="21" xfId="0" applyFont="1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165" fontId="0" fillId="2" borderId="30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3" fontId="12" fillId="2" borderId="0" xfId="1" applyNumberFormat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 wrapText="1"/>
    </xf>
    <xf numFmtId="3" fontId="12" fillId="2" borderId="0" xfId="1" applyNumberFormat="1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3" fontId="12" fillId="2" borderId="30" xfId="1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right" vertical="center"/>
    </xf>
    <xf numFmtId="3" fontId="12" fillId="2" borderId="30" xfId="1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7" fillId="2" borderId="29" xfId="0" applyFont="1" applyFill="1" applyBorder="1" applyAlignment="1">
      <alignment horizontal="right" vertical="center" wrapText="1"/>
    </xf>
    <xf numFmtId="3" fontId="12" fillId="2" borderId="30" xfId="1" applyNumberFormat="1" applyFont="1" applyFill="1" applyBorder="1" applyAlignment="1">
      <alignment horizontal="left" vertical="center"/>
    </xf>
    <xf numFmtId="166" fontId="13" fillId="10" borderId="0" xfId="2" applyNumberFormat="1" applyFont="1" applyFill="1" applyBorder="1" applyAlignment="1">
      <alignment horizontal="center" vertical="center"/>
    </xf>
    <xf numFmtId="5" fontId="8" fillId="2" borderId="0" xfId="1" applyNumberFormat="1" applyFont="1" applyFill="1" applyBorder="1" applyAlignment="1">
      <alignment vertical="center"/>
    </xf>
    <xf numFmtId="0" fontId="8" fillId="6" borderId="29" xfId="0" applyFont="1" applyFill="1" applyBorder="1" applyAlignment="1">
      <alignment vertical="center"/>
    </xf>
    <xf numFmtId="0" fontId="8" fillId="6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165" fontId="8" fillId="2" borderId="0" xfId="1" applyNumberFormat="1" applyFont="1" applyFill="1" applyBorder="1" applyAlignment="1">
      <alignment horizontal="center" vertical="center"/>
    </xf>
    <xf numFmtId="8" fontId="55" fillId="2" borderId="0" xfId="0" applyNumberFormat="1" applyFont="1" applyFill="1" applyBorder="1" applyAlignment="1">
      <alignment vertical="center"/>
    </xf>
    <xf numFmtId="0" fontId="55" fillId="2" borderId="0" xfId="0" applyFont="1" applyFill="1" applyBorder="1" applyAlignment="1">
      <alignment vertical="center"/>
    </xf>
    <xf numFmtId="9" fontId="8" fillId="2" borderId="0" xfId="3" applyFont="1" applyFill="1" applyBorder="1" applyAlignment="1">
      <alignment vertical="center"/>
    </xf>
    <xf numFmtId="9" fontId="10" fillId="2" borderId="0" xfId="3" applyNumberFormat="1" applyFont="1" applyFill="1" applyBorder="1" applyAlignment="1">
      <alignment vertical="center"/>
    </xf>
    <xf numFmtId="0" fontId="23" fillId="10" borderId="25" xfId="0" applyFont="1" applyFill="1" applyBorder="1" applyAlignment="1" applyProtection="1">
      <alignment horizontal="center" vertical="center"/>
      <protection locked="0"/>
    </xf>
    <xf numFmtId="164" fontId="23" fillId="10" borderId="25" xfId="0" applyNumberFormat="1" applyFont="1" applyFill="1" applyBorder="1" applyAlignment="1" applyProtection="1">
      <alignment horizontal="center" vertical="center"/>
      <protection locked="0"/>
    </xf>
    <xf numFmtId="7" fontId="23" fillId="10" borderId="25" xfId="2" applyNumberFormat="1" applyFont="1" applyFill="1" applyBorder="1" applyAlignment="1" applyProtection="1">
      <alignment horizontal="center" vertical="center"/>
      <protection locked="0"/>
    </xf>
    <xf numFmtId="2" fontId="23" fillId="10" borderId="25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3" fillId="10" borderId="46" xfId="0" applyFont="1" applyFill="1" applyBorder="1" applyAlignment="1" applyProtection="1">
      <alignment horizontal="center" vertical="center"/>
      <protection locked="0"/>
    </xf>
    <xf numFmtId="9" fontId="23" fillId="10" borderId="25" xfId="3" applyFont="1" applyFill="1" applyBorder="1" applyAlignment="1" applyProtection="1">
      <alignment horizontal="center" vertical="center"/>
      <protection locked="0"/>
    </xf>
    <xf numFmtId="9" fontId="23" fillId="10" borderId="48" xfId="3" applyFont="1" applyFill="1" applyBorder="1" applyAlignment="1" applyProtection="1">
      <alignment horizontal="center" vertical="center"/>
      <protection locked="0"/>
    </xf>
    <xf numFmtId="0" fontId="36" fillId="0" borderId="45" xfId="0" applyFont="1" applyFill="1" applyBorder="1" applyAlignment="1">
      <alignment horizontal="left" vertical="center" wrapText="1" indent="4"/>
    </xf>
    <xf numFmtId="0" fontId="36" fillId="0" borderId="23" xfId="0" applyFont="1" applyFill="1" applyBorder="1" applyAlignment="1">
      <alignment horizontal="left" vertical="center" wrapText="1" indent="4"/>
    </xf>
    <xf numFmtId="0" fontId="36" fillId="0" borderId="47" xfId="0" applyFont="1" applyFill="1" applyBorder="1" applyAlignment="1">
      <alignment horizontal="left" vertical="center" wrapText="1" indent="4"/>
    </xf>
    <xf numFmtId="0" fontId="40" fillId="7" borderId="43" xfId="0" applyFont="1" applyFill="1" applyBorder="1" applyAlignment="1">
      <alignment horizontal="left" vertical="center" indent="4"/>
    </xf>
    <xf numFmtId="9" fontId="6" fillId="0" borderId="39" xfId="3" applyFont="1" applyBorder="1" applyAlignment="1">
      <alignment horizontal="center" vertical="center"/>
    </xf>
    <xf numFmtId="0" fontId="6" fillId="15" borderId="34" xfId="0" applyFont="1" applyFill="1" applyBorder="1" applyAlignment="1">
      <alignment horizontal="left" vertical="center"/>
    </xf>
    <xf numFmtId="0" fontId="48" fillId="0" borderId="35" xfId="0" applyFont="1" applyBorder="1" applyAlignment="1">
      <alignment horizontal="left" wrapText="1"/>
    </xf>
    <xf numFmtId="0" fontId="48" fillId="0" borderId="36" xfId="0" applyFont="1" applyBorder="1" applyAlignment="1">
      <alignment horizontal="left" wrapText="1"/>
    </xf>
    <xf numFmtId="0" fontId="48" fillId="0" borderId="37" xfId="0" applyFont="1" applyBorder="1" applyAlignment="1">
      <alignment horizontal="left" wrapText="1"/>
    </xf>
    <xf numFmtId="0" fontId="57" fillId="4" borderId="44" xfId="0" applyFont="1" applyFill="1" applyBorder="1" applyAlignment="1">
      <alignment horizontal="center" vertical="center"/>
    </xf>
    <xf numFmtId="0" fontId="57" fillId="4" borderId="32" xfId="0" applyFont="1" applyFill="1" applyBorder="1" applyAlignment="1">
      <alignment horizontal="left" vertical="center" indent="4"/>
    </xf>
    <xf numFmtId="0" fontId="5" fillId="6" borderId="0" xfId="0" applyFont="1" applyFill="1" applyBorder="1"/>
    <xf numFmtId="0" fontId="5" fillId="8" borderId="23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left" vertical="center" indent="4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>
      <alignment horizontal="left" vertical="center" indent="1"/>
    </xf>
    <xf numFmtId="0" fontId="5" fillId="6" borderId="28" xfId="0" applyFont="1" applyFill="1" applyBorder="1" applyAlignment="1">
      <alignment horizontal="left" vertical="center" indent="1"/>
    </xf>
    <xf numFmtId="0" fontId="5" fillId="6" borderId="29" xfId="0" applyFont="1" applyFill="1" applyBorder="1" applyAlignment="1">
      <alignment horizontal="left" vertical="center" indent="1"/>
    </xf>
    <xf numFmtId="0" fontId="58" fillId="0" borderId="0" xfId="0" applyFont="1" applyAlignment="1">
      <alignment horizontal="left" vertical="center" wrapText="1" indent="1"/>
    </xf>
    <xf numFmtId="0" fontId="8" fillId="2" borderId="7" xfId="0" applyFont="1" applyFill="1" applyBorder="1" applyAlignment="1">
      <alignment vertical="center"/>
    </xf>
    <xf numFmtId="0" fontId="62" fillId="8" borderId="0" xfId="0" applyFont="1" applyFill="1" applyBorder="1" applyAlignment="1">
      <alignment horizontal="center" vertical="center"/>
    </xf>
    <xf numFmtId="5" fontId="0" fillId="2" borderId="0" xfId="0" applyNumberFormat="1" applyFill="1" applyBorder="1" applyAlignment="1">
      <alignment vertical="center"/>
    </xf>
    <xf numFmtId="5" fontId="8" fillId="2" borderId="0" xfId="0" applyNumberFormat="1" applyFont="1" applyFill="1" applyBorder="1" applyAlignment="1">
      <alignment vertical="center"/>
    </xf>
    <xf numFmtId="165" fontId="63" fillId="2" borderId="0" xfId="0" applyNumberFormat="1" applyFont="1" applyFill="1" applyBorder="1" applyAlignment="1">
      <alignment horizontal="center" vertical="center"/>
    </xf>
    <xf numFmtId="0" fontId="64" fillId="0" borderId="0" xfId="10" applyFont="1"/>
    <xf numFmtId="0" fontId="4" fillId="0" borderId="0" xfId="10"/>
    <xf numFmtId="0" fontId="45" fillId="14" borderId="38" xfId="10" applyFont="1" applyFill="1" applyBorder="1"/>
    <xf numFmtId="0" fontId="45" fillId="14" borderId="39" xfId="10" applyFont="1" applyFill="1" applyBorder="1" applyAlignment="1">
      <alignment horizontal="right"/>
    </xf>
    <xf numFmtId="0" fontId="45" fillId="14" borderId="39" xfId="10" applyFont="1" applyFill="1" applyBorder="1"/>
    <xf numFmtId="0" fontId="40" fillId="15" borderId="21" xfId="10" applyFont="1" applyFill="1" applyBorder="1"/>
    <xf numFmtId="0" fontId="40" fillId="15" borderId="22" xfId="10" applyFont="1" applyFill="1" applyBorder="1"/>
    <xf numFmtId="9" fontId="40" fillId="15" borderId="22" xfId="10" applyNumberFormat="1" applyFont="1" applyFill="1" applyBorder="1"/>
    <xf numFmtId="0" fontId="40" fillId="0" borderId="21" xfId="10" applyFont="1" applyBorder="1"/>
    <xf numFmtId="0" fontId="40" fillId="0" borderId="22" xfId="10" applyFont="1" applyBorder="1"/>
    <xf numFmtId="0" fontId="40" fillId="16" borderId="21" xfId="10" applyFont="1" applyFill="1" applyBorder="1"/>
    <xf numFmtId="0" fontId="40" fillId="16" borderId="22" xfId="10" applyFont="1" applyFill="1" applyBorder="1"/>
    <xf numFmtId="0" fontId="40" fillId="16" borderId="41" xfId="10" applyFont="1" applyFill="1" applyBorder="1"/>
    <xf numFmtId="0" fontId="40" fillId="14" borderId="29" xfId="10" applyFont="1" applyFill="1" applyBorder="1"/>
    <xf numFmtId="44" fontId="40" fillId="14" borderId="31" xfId="10" applyNumberFormat="1" applyFont="1" applyFill="1" applyBorder="1"/>
    <xf numFmtId="0" fontId="40" fillId="13" borderId="29" xfId="10" applyFont="1" applyFill="1" applyBorder="1"/>
    <xf numFmtId="44" fontId="40" fillId="13" borderId="31" xfId="10" applyNumberFormat="1" applyFont="1" applyFill="1" applyBorder="1"/>
    <xf numFmtId="0" fontId="58" fillId="6" borderId="0" xfId="0" applyFont="1" applyFill="1" applyBorder="1" applyAlignment="1">
      <alignment horizontal="left" vertical="center" wrapText="1"/>
    </xf>
    <xf numFmtId="0" fontId="35" fillId="11" borderId="11" xfId="0" applyFont="1" applyFill="1" applyBorder="1" applyAlignment="1">
      <alignment horizontal="left" vertical="center" indent="3"/>
    </xf>
    <xf numFmtId="0" fontId="35" fillId="11" borderId="3" xfId="0" applyFont="1" applyFill="1" applyBorder="1" applyAlignment="1">
      <alignment horizontal="left" vertical="center" indent="3"/>
    </xf>
    <xf numFmtId="0" fontId="35" fillId="11" borderId="9" xfId="0" applyFont="1" applyFill="1" applyBorder="1" applyAlignment="1">
      <alignment horizontal="left" vertical="center" indent="3"/>
    </xf>
    <xf numFmtId="0" fontId="5" fillId="2" borderId="2" xfId="0" applyFont="1" applyFill="1" applyBorder="1" applyAlignment="1">
      <alignment horizontal="left" vertical="center" indent="1"/>
    </xf>
    <xf numFmtId="0" fontId="23" fillId="3" borderId="26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 wrapText="1"/>
    </xf>
    <xf numFmtId="0" fontId="24" fillId="4" borderId="1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left" vertical="center" indent="1"/>
    </xf>
    <xf numFmtId="0" fontId="23" fillId="8" borderId="2" xfId="0" applyFont="1" applyFill="1" applyBorder="1" applyAlignment="1">
      <alignment horizontal="left" vertical="center" indent="1"/>
    </xf>
    <xf numFmtId="0" fontId="5" fillId="6" borderId="11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left" vertical="center" indent="1"/>
    </xf>
    <xf numFmtId="0" fontId="5" fillId="6" borderId="9" xfId="0" applyFont="1" applyFill="1" applyBorder="1" applyAlignment="1">
      <alignment horizontal="left" vertical="center" indent="1"/>
    </xf>
    <xf numFmtId="0" fontId="23" fillId="3" borderId="1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32" fillId="6" borderId="38" xfId="0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center" vertical="center" wrapText="1"/>
    </xf>
    <xf numFmtId="0" fontId="32" fillId="6" borderId="4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65" fontId="8" fillId="2" borderId="11" xfId="1" applyNumberFormat="1" applyFont="1" applyFill="1" applyBorder="1" applyAlignment="1">
      <alignment horizontal="center" vertical="center"/>
    </xf>
    <xf numFmtId="165" fontId="8" fillId="2" borderId="9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9" xfId="1" applyNumberFormat="1" applyFont="1" applyFill="1" applyBorder="1" applyAlignment="1">
      <alignment horizontal="center" vertical="center"/>
    </xf>
    <xf numFmtId="6" fontId="7" fillId="7" borderId="2" xfId="0" applyNumberFormat="1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 wrapText="1"/>
    </xf>
    <xf numFmtId="37" fontId="8" fillId="2" borderId="11" xfId="1" applyNumberFormat="1" applyFont="1" applyFill="1" applyBorder="1" applyAlignment="1">
      <alignment horizontal="center" vertical="center"/>
    </xf>
    <xf numFmtId="37" fontId="8" fillId="2" borderId="9" xfId="1" applyNumberFormat="1" applyFont="1" applyFill="1" applyBorder="1" applyAlignment="1">
      <alignment horizontal="center" vertical="center"/>
    </xf>
    <xf numFmtId="37" fontId="8" fillId="2" borderId="2" xfId="1" applyNumberFormat="1" applyFont="1" applyFill="1" applyBorder="1" applyAlignment="1">
      <alignment horizontal="center" vertical="center"/>
    </xf>
    <xf numFmtId="37" fontId="7" fillId="2" borderId="2" xfId="1" applyNumberFormat="1" applyFont="1" applyFill="1" applyBorder="1" applyAlignment="1">
      <alignment horizontal="center" vertical="center"/>
    </xf>
    <xf numFmtId="5" fontId="7" fillId="7" borderId="2" xfId="2" applyNumberFormat="1" applyFont="1" applyFill="1" applyBorder="1" applyAlignment="1">
      <alignment horizontal="center" vertical="center"/>
    </xf>
    <xf numFmtId="5" fontId="7" fillId="7" borderId="3" xfId="2" applyNumberFormat="1" applyFont="1" applyFill="1" applyBorder="1" applyAlignment="1">
      <alignment horizontal="center" vertical="center"/>
    </xf>
    <xf numFmtId="5" fontId="7" fillId="7" borderId="9" xfId="2" applyNumberFormat="1" applyFont="1" applyFill="1" applyBorder="1" applyAlignment="1">
      <alignment horizontal="center" vertical="center"/>
    </xf>
    <xf numFmtId="37" fontId="8" fillId="2" borderId="3" xfId="1" applyNumberFormat="1" applyFont="1" applyFill="1" applyBorder="1" applyAlignment="1">
      <alignment horizontal="center" vertical="center"/>
    </xf>
    <xf numFmtId="37" fontId="7" fillId="2" borderId="3" xfId="1" applyNumberFormat="1" applyFont="1" applyFill="1" applyBorder="1" applyAlignment="1">
      <alignment horizontal="center" vertical="center"/>
    </xf>
    <xf numFmtId="37" fontId="7" fillId="2" borderId="9" xfId="1" applyNumberFormat="1" applyFont="1" applyFill="1" applyBorder="1" applyAlignment="1">
      <alignment horizontal="center" vertical="center"/>
    </xf>
    <xf numFmtId="166" fontId="13" fillId="6" borderId="3" xfId="2" applyNumberFormat="1" applyFont="1" applyFill="1" applyBorder="1" applyAlignment="1">
      <alignment horizontal="center" vertical="center"/>
    </xf>
    <xf numFmtId="166" fontId="13" fillId="6" borderId="9" xfId="2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5" fontId="7" fillId="6" borderId="3" xfId="2" applyNumberFormat="1" applyFont="1" applyFill="1" applyBorder="1" applyAlignment="1">
      <alignment horizontal="center" vertical="center"/>
    </xf>
    <xf numFmtId="5" fontId="7" fillId="6" borderId="9" xfId="2" applyNumberFormat="1" applyFont="1" applyFill="1" applyBorder="1" applyAlignment="1">
      <alignment horizontal="center" vertical="center"/>
    </xf>
    <xf numFmtId="5" fontId="10" fillId="0" borderId="11" xfId="0" applyNumberFormat="1" applyFont="1" applyBorder="1" applyAlignment="1">
      <alignment horizontal="center" vertical="center"/>
    </xf>
    <xf numFmtId="5" fontId="10" fillId="0" borderId="9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68" fillId="6" borderId="30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20" fillId="8" borderId="19" xfId="0" applyFont="1" applyFill="1" applyBorder="1" applyAlignment="1">
      <alignment horizontal="center" vertical="center" wrapText="1"/>
    </xf>
    <xf numFmtId="5" fontId="8" fillId="2" borderId="2" xfId="1" applyNumberFormat="1" applyFont="1" applyFill="1" applyBorder="1" applyAlignment="1">
      <alignment horizontal="center" vertical="center"/>
    </xf>
    <xf numFmtId="5" fontId="10" fillId="0" borderId="2" xfId="0" applyNumberFormat="1" applyFont="1" applyBorder="1" applyAlignment="1">
      <alignment horizontal="center" vertical="center"/>
    </xf>
    <xf numFmtId="6" fontId="8" fillId="2" borderId="2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61" fillId="9" borderId="38" xfId="0" applyFont="1" applyFill="1" applyBorder="1" applyAlignment="1">
      <alignment horizontal="center" vertical="center"/>
    </xf>
    <xf numFmtId="0" fontId="61" fillId="9" borderId="40" xfId="0" applyFont="1" applyFill="1" applyBorder="1" applyAlignment="1">
      <alignment horizontal="center" vertical="center"/>
    </xf>
    <xf numFmtId="0" fontId="61" fillId="9" borderId="39" xfId="0" applyFont="1" applyFill="1" applyBorder="1" applyAlignment="1">
      <alignment horizontal="center" vertical="center"/>
    </xf>
    <xf numFmtId="166" fontId="13" fillId="6" borderId="2" xfId="2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5" fontId="7" fillId="6" borderId="2" xfId="2" applyNumberFormat="1" applyFont="1" applyFill="1" applyBorder="1" applyAlignment="1">
      <alignment horizontal="center" vertical="center"/>
    </xf>
    <xf numFmtId="165" fontId="20" fillId="8" borderId="11" xfId="0" applyNumberFormat="1" applyFont="1" applyFill="1" applyBorder="1" applyAlignment="1">
      <alignment horizontal="center" vertical="center" wrapText="1"/>
    </xf>
    <xf numFmtId="165" fontId="20" fillId="8" borderId="9" xfId="0" applyNumberFormat="1" applyFont="1" applyFill="1" applyBorder="1" applyAlignment="1">
      <alignment horizontal="center" vertical="center" wrapText="1"/>
    </xf>
    <xf numFmtId="6" fontId="8" fillId="2" borderId="11" xfId="0" applyNumberFormat="1" applyFont="1" applyFill="1" applyBorder="1" applyAlignment="1">
      <alignment horizontal="center" vertical="center"/>
    </xf>
    <xf numFmtId="6" fontId="8" fillId="2" borderId="9" xfId="0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165" fontId="20" fillId="8" borderId="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165" fontId="10" fillId="0" borderId="2" xfId="0" applyNumberFormat="1" applyFont="1" applyBorder="1" applyAlignment="1">
      <alignment horizontal="center" vertical="center"/>
    </xf>
    <xf numFmtId="0" fontId="7" fillId="2" borderId="29" xfId="0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2" borderId="2" xfId="1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167" fontId="8" fillId="6" borderId="2" xfId="0" applyNumberFormat="1" applyFont="1" applyFill="1" applyBorder="1" applyAlignment="1">
      <alignment horizontal="center" vertical="center"/>
    </xf>
    <xf numFmtId="167" fontId="8" fillId="6" borderId="11" xfId="0" applyNumberFormat="1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47" fillId="34" borderId="0" xfId="10" applyFont="1" applyFill="1" applyAlignment="1">
      <alignment horizontal="center"/>
    </xf>
    <xf numFmtId="0" fontId="4" fillId="0" borderId="0" xfId="10" applyAlignment="1">
      <alignment horizontal="center" wrapText="1"/>
    </xf>
    <xf numFmtId="0" fontId="6" fillId="0" borderId="0" xfId="10" applyFont="1" applyAlignment="1">
      <alignment horizontal="center"/>
    </xf>
    <xf numFmtId="0" fontId="65" fillId="0" borderId="18" xfId="10" applyFont="1" applyBorder="1" applyAlignment="1">
      <alignment horizontal="center" vertical="center" wrapText="1"/>
    </xf>
    <xf numFmtId="0" fontId="65" fillId="0" borderId="20" xfId="10" applyFont="1" applyBorder="1" applyAlignment="1">
      <alignment horizontal="center" vertical="center" wrapText="1"/>
    </xf>
    <xf numFmtId="0" fontId="65" fillId="0" borderId="21" xfId="10" applyFont="1" applyBorder="1" applyAlignment="1">
      <alignment horizontal="center" vertical="center" wrapText="1"/>
    </xf>
    <xf numFmtId="0" fontId="65" fillId="0" borderId="22" xfId="10" applyFont="1" applyBorder="1" applyAlignment="1">
      <alignment horizontal="center" vertical="center" wrapText="1"/>
    </xf>
    <xf numFmtId="0" fontId="65" fillId="0" borderId="29" xfId="10" applyFont="1" applyBorder="1" applyAlignment="1">
      <alignment horizontal="center" vertical="center" wrapText="1"/>
    </xf>
    <xf numFmtId="0" fontId="65" fillId="0" borderId="31" xfId="10" applyFont="1" applyBorder="1" applyAlignment="1">
      <alignment horizontal="center" vertical="center" wrapText="1"/>
    </xf>
  </cellXfs>
  <cellStyles count="56">
    <cellStyle name="Comma" xfId="1" builtinId="3"/>
    <cellStyle name="Comma 2" xfId="5"/>
    <cellStyle name="Comma 3" xfId="9"/>
    <cellStyle name="Comma 4" xfId="52"/>
    <cellStyle name="Currency" xfId="2" builtinId="4"/>
    <cellStyle name="Currency 2" xfId="7"/>
    <cellStyle name="Currency 3" xfId="51"/>
    <cellStyle name="Normal" xfId="0" builtinId="0"/>
    <cellStyle name="Normal 2" xfId="4"/>
    <cellStyle name="Normal 2 2" xfId="10"/>
    <cellStyle name="Normal 22" xfId="55"/>
    <cellStyle name="Normal 3" xfId="6"/>
    <cellStyle name="Normal 4" xfId="50"/>
    <cellStyle name="Percent" xfId="3" builtinId="5"/>
    <cellStyle name="Percent 2" xfId="49"/>
    <cellStyle name="Percent 3" xfId="54"/>
    <cellStyle name="SAPBEXaggData" xfId="11"/>
    <cellStyle name="SAPBEXaggDataEmph" xfId="12"/>
    <cellStyle name="SAPBEXaggItem" xfId="13"/>
    <cellStyle name="SAPBEXaggItemX" xfId="14"/>
    <cellStyle name="SAPBEXchaText" xfId="15"/>
    <cellStyle name="SAPBEXexcBad7" xfId="16"/>
    <cellStyle name="SAPBEXexcBad8" xfId="17"/>
    <cellStyle name="SAPBEXexcBad9" xfId="18"/>
    <cellStyle name="SAPBEXexcCritical4" xfId="19"/>
    <cellStyle name="SAPBEXexcCritical5" xfId="20"/>
    <cellStyle name="SAPBEXexcCritical6" xfId="21"/>
    <cellStyle name="SAPBEXexcGood1" xfId="22"/>
    <cellStyle name="SAPBEXexcGood2" xfId="23"/>
    <cellStyle name="SAPBEXexcGood3" xfId="24"/>
    <cellStyle name="SAPBEXfilterDrill" xfId="25"/>
    <cellStyle name="SAPBEXfilterItem" xfId="26"/>
    <cellStyle name="SAPBEXfilterText" xfId="27"/>
    <cellStyle name="SAPBEXformats" xfId="28"/>
    <cellStyle name="SAPBEXheaderItem" xfId="29"/>
    <cellStyle name="SAPBEXheaderText" xfId="30"/>
    <cellStyle name="SAPBEXHLevel0" xfId="31"/>
    <cellStyle name="SAPBEXHLevel0X" xfId="32"/>
    <cellStyle name="SAPBEXHLevel1" xfId="33"/>
    <cellStyle name="SAPBEXHLevel1X" xfId="34"/>
    <cellStyle name="SAPBEXHLevel2" xfId="35"/>
    <cellStyle name="SAPBEXHLevel2X" xfId="36"/>
    <cellStyle name="SAPBEXHLevel3" xfId="37"/>
    <cellStyle name="SAPBEXHLevel3X" xfId="38"/>
    <cellStyle name="SAPBEXinputData" xfId="48"/>
    <cellStyle name="SAPBEXinputData 2" xfId="53"/>
    <cellStyle name="SAPBEXresData" xfId="39"/>
    <cellStyle name="SAPBEXresDataEmph" xfId="40"/>
    <cellStyle name="SAPBEXresItem" xfId="41"/>
    <cellStyle name="SAPBEXresItemX" xfId="42"/>
    <cellStyle name="SAPBEXstdData" xfId="43"/>
    <cellStyle name="SAPBEXstdDataEmph" xfId="44"/>
    <cellStyle name="SAPBEXstdItem" xfId="8"/>
    <cellStyle name="SAPBEXstdItemX" xfId="45"/>
    <cellStyle name="SAPBEXtitle" xfId="46"/>
    <cellStyle name="SAPBEXundefined" xfId="47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993366"/>
      <rgbColor rgb="00FFFFCC"/>
      <rgbColor rgb="00CCFFFF"/>
      <rgbColor rgb="00660066"/>
      <rgbColor rgb="00FF8080"/>
      <rgbColor rgb="000066CC"/>
      <rgbColor rgb="00CCFF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FFCC"/>
      <rgbColor rgb="00CC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FD789"/>
      <color rgb="FFFFFF99"/>
      <color rgb="FF33CC33"/>
      <color rgb="FFCCFFCC"/>
      <color rgb="FF54BC74"/>
      <color rgb="FFFFFFCC"/>
      <color rgb="FF7F0C03"/>
      <color rgb="FF669900"/>
      <color rgb="FF00CC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ROI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88224"/>
        <c:axId val="151190144"/>
      </c:barChart>
      <c:catAx>
        <c:axId val="1511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19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90144"/>
        <c:scaling>
          <c:orientation val="minMax"/>
          <c:min val="-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188224"/>
        <c:crosses val="autoZero"/>
        <c:crossBetween val="between"/>
        <c:minorUnit val="25000"/>
      </c:valAx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ROI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22848"/>
        <c:axId val="162224384"/>
      </c:barChart>
      <c:catAx>
        <c:axId val="1622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22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24384"/>
        <c:scaling>
          <c:orientation val="minMax"/>
          <c:min val="-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222848"/>
        <c:crosses val="autoZero"/>
        <c:crossBetween val="between"/>
        <c:minorUnit val="25000"/>
      </c:valAx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Cost of Ownership Comparison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99831867049664"/>
          <c:y val="0.15131142827618074"/>
          <c:w val="0.64228315109558465"/>
          <c:h val="0.67651909882358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'Savings and TCO Summary'!$B$30</c:f>
              <c:strCache>
                <c:ptCount val="1"/>
                <c:pt idx="0">
                  <c:v>Net Investment</c:v>
                </c:pt>
              </c:strCache>
            </c:strRef>
          </c:tx>
          <c:spPr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invertIfNegative val="0"/>
          <c:cat>
            <c:strRef>
              <c:f>'Savings and TCO Summary'!$C$26:$E$26</c:f>
              <c:strCache>
                <c:ptCount val="3"/>
                <c:pt idx="0">
                  <c:v>175W MH</c:v>
                </c:pt>
                <c:pt idx="1">
                  <c:v>LED</c:v>
                </c:pt>
                <c:pt idx="2">
                  <c:v>CONNECTED LED</c:v>
                </c:pt>
              </c:strCache>
            </c:strRef>
          </c:cat>
          <c:val>
            <c:numRef>
              <c:f>'Savings and TCO Summary'!$C$30:$E$30</c:f>
              <c:numCache>
                <c:formatCode>"$"#,##0_);\("$"#,##0\)</c:formatCode>
                <c:ptCount val="3"/>
                <c:pt idx="0" formatCode="&quot;$&quot;#,##0">
                  <c:v>300000</c:v>
                </c:pt>
                <c:pt idx="1">
                  <c:v>689400</c:v>
                </c:pt>
                <c:pt idx="2">
                  <c:v>1059116</c:v>
                </c:pt>
              </c:numCache>
            </c:numRef>
          </c:val>
        </c:ser>
        <c:ser>
          <c:idx val="1"/>
          <c:order val="1"/>
          <c:tx>
            <c:strRef>
              <c:f>'Savings and TCO Summary'!$B$31</c:f>
              <c:strCache>
                <c:ptCount val="1"/>
                <c:pt idx="0">
                  <c:v>Total Lighting Energy Costs</c:v>
                </c:pt>
              </c:strCache>
            </c:strRef>
          </c:tx>
          <c:spPr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invertIfNegative val="0"/>
          <c:cat>
            <c:strRef>
              <c:f>'Savings and TCO Summary'!$C$26:$E$26</c:f>
              <c:strCache>
                <c:ptCount val="3"/>
                <c:pt idx="0">
                  <c:v>175W MH</c:v>
                </c:pt>
                <c:pt idx="1">
                  <c:v>LED</c:v>
                </c:pt>
                <c:pt idx="2">
                  <c:v>CONNECTED LED</c:v>
                </c:pt>
              </c:strCache>
            </c:strRef>
          </c:cat>
          <c:val>
            <c:numRef>
              <c:f>'Savings and TCO Summary'!$C$31:$E$31</c:f>
              <c:numCache>
                <c:formatCode>"$"#,##0</c:formatCode>
                <c:ptCount val="3"/>
                <c:pt idx="0">
                  <c:v>4849415.9999999991</c:v>
                </c:pt>
                <c:pt idx="1">
                  <c:v>1361566.7999999998</c:v>
                </c:pt>
                <c:pt idx="2">
                  <c:v>612705.05999999994</c:v>
                </c:pt>
              </c:numCache>
            </c:numRef>
          </c:val>
        </c:ser>
        <c:ser>
          <c:idx val="2"/>
          <c:order val="2"/>
          <c:tx>
            <c:strRef>
              <c:f>'Savings and TCO Summary'!$B$33</c:f>
              <c:strCache>
                <c:ptCount val="1"/>
                <c:pt idx="0">
                  <c:v>Total Maintenance Costs</c:v>
                </c:pt>
              </c:strCache>
            </c:strRef>
          </c:tx>
          <c:spPr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invertIfNegative val="0"/>
          <c:cat>
            <c:strRef>
              <c:f>'Savings and TCO Summary'!$C$26:$E$26</c:f>
              <c:strCache>
                <c:ptCount val="3"/>
                <c:pt idx="0">
                  <c:v>175W MH</c:v>
                </c:pt>
                <c:pt idx="1">
                  <c:v>LED</c:v>
                </c:pt>
                <c:pt idx="2">
                  <c:v>CONNECTED LED</c:v>
                </c:pt>
              </c:strCache>
            </c:strRef>
          </c:cat>
          <c:val>
            <c:numRef>
              <c:f>'Savings and TCO Summary'!$C$33:$E$33</c:f>
              <c:numCache>
                <c:formatCode>"$"#,##0</c:formatCode>
                <c:ptCount val="3"/>
                <c:pt idx="0">
                  <c:v>4982400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'Savings and TCO Summary'!$B$32</c:f>
              <c:strCache>
                <c:ptCount val="1"/>
                <c:pt idx="0">
                  <c:v>Incremental Air Cooling Energy Costs</c:v>
                </c:pt>
              </c:strCache>
            </c:strRef>
          </c:tx>
          <c:invertIfNegative val="0"/>
          <c:cat>
            <c:strRef>
              <c:f>'Savings and TCO Summary'!$C$26:$E$26</c:f>
              <c:strCache>
                <c:ptCount val="3"/>
                <c:pt idx="0">
                  <c:v>175W MH</c:v>
                </c:pt>
                <c:pt idx="1">
                  <c:v>LED</c:v>
                </c:pt>
                <c:pt idx="2">
                  <c:v>CONNECTED LED</c:v>
                </c:pt>
              </c:strCache>
            </c:strRef>
          </c:cat>
          <c:val>
            <c:numRef>
              <c:f>'Savings and TCO Summary'!$C$32:$E$32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0742912"/>
        <c:axId val="190745984"/>
      </c:barChart>
      <c:catAx>
        <c:axId val="19074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90745984"/>
        <c:crosses val="autoZero"/>
        <c:auto val="1"/>
        <c:lblAlgn val="ctr"/>
        <c:lblOffset val="100"/>
        <c:noMultiLvlLbl val="0"/>
      </c:catAx>
      <c:valAx>
        <c:axId val="19074598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9074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75135966869869"/>
          <c:y val="0.14316542006811964"/>
          <c:w val="0.20103669449270706"/>
          <c:h val="0.5890571824807766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ROI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80928"/>
        <c:axId val="252782848"/>
      </c:barChart>
      <c:catAx>
        <c:axId val="2527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7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782848"/>
        <c:scaling>
          <c:orientation val="minMax"/>
          <c:min val="-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780928"/>
        <c:crosses val="autoZero"/>
        <c:crossBetween val="between"/>
        <c:minorUnit val="25000"/>
      </c:valAx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6522720</xdr:colOff>
      <xdr:row>0</xdr:row>
      <xdr:rowOff>167640</xdr:rowOff>
    </xdr:from>
    <xdr:to>
      <xdr:col>1</xdr:col>
      <xdr:colOff>1482014</xdr:colOff>
      <xdr:row>0</xdr:row>
      <xdr:rowOff>404757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2720" y="167640"/>
          <a:ext cx="1939214" cy="237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496955</xdr:colOff>
      <xdr:row>1</xdr:row>
      <xdr:rowOff>119266</xdr:rowOff>
    </xdr:from>
    <xdr:to>
      <xdr:col>8</xdr:col>
      <xdr:colOff>828349</xdr:colOff>
      <xdr:row>2</xdr:row>
      <xdr:rowOff>135403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5790" y="324675"/>
          <a:ext cx="1934907" cy="234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8</xdr:col>
      <xdr:colOff>590550</xdr:colOff>
      <xdr:row>48</xdr:row>
      <xdr:rowOff>0</xdr:rowOff>
    </xdr:to>
    <xdr:graphicFrame macro="">
      <xdr:nvGraphicFramePr>
        <xdr:cNvPr id="56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8</xdr:col>
      <xdr:colOff>590550</xdr:colOff>
      <xdr:row>50</xdr:row>
      <xdr:rowOff>0</xdr:rowOff>
    </xdr:to>
    <xdr:graphicFrame macro="">
      <xdr:nvGraphicFramePr>
        <xdr:cNvPr id="56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358588</xdr:colOff>
      <xdr:row>34</xdr:row>
      <xdr:rowOff>133346</xdr:rowOff>
    </xdr:from>
    <xdr:to>
      <xdr:col>27</xdr:col>
      <xdr:colOff>0</xdr:colOff>
      <xdr:row>46</xdr:row>
      <xdr:rowOff>137582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590550</xdr:colOff>
      <xdr:row>60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261245</xdr:colOff>
      <xdr:row>1</xdr:row>
      <xdr:rowOff>119754</xdr:rowOff>
    </xdr:from>
    <xdr:to>
      <xdr:col>14</xdr:col>
      <xdr:colOff>827311</xdr:colOff>
      <xdr:row>2</xdr:row>
      <xdr:rowOff>139157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1816" y="337468"/>
          <a:ext cx="3450781" cy="422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1905000</xdr:colOff>
      <xdr:row>0</xdr:row>
      <xdr:rowOff>68580</xdr:rowOff>
    </xdr:from>
    <xdr:to>
      <xdr:col>7</xdr:col>
      <xdr:colOff>974281</xdr:colOff>
      <xdr:row>1</xdr:row>
      <xdr:rowOff>134801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68580"/>
          <a:ext cx="1911541" cy="2338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e16" displayName="Table16" ref="Z12:Z19" totalsRowShown="0" headerRowDxfId="17" dataDxfId="16">
  <autoFilter ref="Z12:Z19"/>
  <tableColumns count="1">
    <tableColumn id="1" name="Scheduling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AA12:AA19" totalsRowShown="0" headerRowDxfId="14" dataDxfId="13">
  <autoFilter ref="AA12:AA19"/>
  <tableColumns count="1">
    <tableColumn id="1" name="Dimming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38" displayName="Table38" ref="AB12:AB19" totalsRowShown="0" headerRowDxfId="11" dataDxfId="10">
  <autoFilter ref="AB12:AB19"/>
  <tableColumns count="1">
    <tableColumn id="1" name="Occupancy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Table49" displayName="Table49" ref="AC12:AE23" totalsRowShown="0" headerRowDxfId="8" dataDxfId="7">
  <autoFilter ref="AC12:AE23"/>
  <tableColumns count="3">
    <tableColumn id="1" name="Day Light Harvesting" dataDxfId="6"/>
    <tableColumn id="2" name="Dimming Level" dataDxfId="5"/>
    <tableColumn id="3" name="Daylight Harvesting Option" dataDxfId="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M55:AN60" totalsRowShown="0" headerRowDxfId="3" dataDxfId="2">
  <autoFilter ref="AM55:AN60"/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zoomScaleNormal="100" workbookViewId="0"/>
  </sheetViews>
  <sheetFormatPr defaultRowHeight="12.45" customHeight="1" x14ac:dyDescent="0.25"/>
  <cols>
    <col min="1" max="1" width="101.77734375" style="137" bestFit="1" customWidth="1"/>
    <col min="2" max="2" width="23.21875" bestFit="1" customWidth="1"/>
    <col min="3" max="3" width="0.88671875" customWidth="1"/>
    <col min="4" max="4" width="97.21875" hidden="1" customWidth="1"/>
    <col min="26" max="29" width="0" hidden="1" customWidth="1"/>
    <col min="30" max="30" width="13.44140625" hidden="1" customWidth="1"/>
    <col min="31" max="31" width="0" hidden="1" customWidth="1"/>
  </cols>
  <sheetData>
    <row r="1" spans="1:31" ht="43.8" customHeight="1" x14ac:dyDescent="0.25">
      <c r="A1" s="248" t="s">
        <v>221</v>
      </c>
    </row>
    <row r="2" spans="1:31" ht="22.8" customHeight="1" thickBot="1" x14ac:dyDescent="0.3">
      <c r="A2" s="239" t="s">
        <v>220</v>
      </c>
      <c r="B2" s="238" t="s">
        <v>20</v>
      </c>
    </row>
    <row r="3" spans="1:31" ht="22.8" customHeight="1" x14ac:dyDescent="0.25">
      <c r="A3" s="229" t="s">
        <v>209</v>
      </c>
      <c r="B3" s="226" t="s">
        <v>149</v>
      </c>
      <c r="C3" s="140"/>
    </row>
    <row r="4" spans="1:31" ht="22.8" customHeight="1" x14ac:dyDescent="0.25">
      <c r="A4" s="230" t="s">
        <v>210</v>
      </c>
      <c r="B4" s="219">
        <v>8</v>
      </c>
      <c r="D4" s="146" t="s">
        <v>153</v>
      </c>
    </row>
    <row r="5" spans="1:31" ht="22.8" customHeight="1" x14ac:dyDescent="0.25">
      <c r="A5" s="230" t="s">
        <v>211</v>
      </c>
      <c r="B5" s="219">
        <v>4</v>
      </c>
      <c r="D5" s="146" t="s">
        <v>154</v>
      </c>
    </row>
    <row r="6" spans="1:31" ht="22.8" customHeight="1" x14ac:dyDescent="0.25">
      <c r="A6" s="230" t="s">
        <v>212</v>
      </c>
      <c r="B6" s="227">
        <v>0.7</v>
      </c>
      <c r="D6" s="147" t="s">
        <v>155</v>
      </c>
    </row>
    <row r="7" spans="1:31" ht="22.8" customHeight="1" x14ac:dyDescent="0.25">
      <c r="A7" s="230" t="s">
        <v>213</v>
      </c>
      <c r="B7" s="219">
        <v>8</v>
      </c>
    </row>
    <row r="8" spans="1:31" ht="22.8" customHeight="1" thickBot="1" x14ac:dyDescent="0.3">
      <c r="A8" s="231" t="s">
        <v>214</v>
      </c>
      <c r="B8" s="228">
        <v>0.5</v>
      </c>
      <c r="D8" s="145"/>
    </row>
    <row r="9" spans="1:31" ht="6.6" customHeight="1" thickBot="1" x14ac:dyDescent="0.3">
      <c r="A9" s="167"/>
      <c r="B9" s="168"/>
      <c r="D9" s="145"/>
    </row>
    <row r="10" spans="1:31" ht="22.8" customHeight="1" thickBot="1" x14ac:dyDescent="0.3">
      <c r="A10" s="232" t="s">
        <v>199</v>
      </c>
      <c r="B10" s="233">
        <f>(B4+B5*(100%-B6)+B7*B8)*52*7/'Input Sheet'!K17</f>
        <v>0.55000000000000004</v>
      </c>
      <c r="D10" s="133"/>
    </row>
    <row r="11" spans="1:31" ht="25.95" customHeight="1" x14ac:dyDescent="0.25"/>
    <row r="12" spans="1:31" ht="25.95" customHeight="1" thickBot="1" x14ac:dyDescent="0.3">
      <c r="Z12" s="41" t="s">
        <v>133</v>
      </c>
      <c r="AA12" s="41" t="s">
        <v>141</v>
      </c>
      <c r="AB12" s="41" t="s">
        <v>134</v>
      </c>
      <c r="AC12" s="41" t="s">
        <v>135</v>
      </c>
      <c r="AD12" s="135" t="s">
        <v>147</v>
      </c>
      <c r="AE12" s="141" t="s">
        <v>148</v>
      </c>
    </row>
    <row r="13" spans="1:31" ht="25.95" customHeight="1" thickBot="1" x14ac:dyDescent="0.3">
      <c r="A13" s="234" t="s">
        <v>208</v>
      </c>
      <c r="Z13" s="32">
        <v>0</v>
      </c>
      <c r="AA13" s="32">
        <v>0</v>
      </c>
      <c r="AB13" s="32">
        <v>0</v>
      </c>
      <c r="AC13" s="32">
        <v>0</v>
      </c>
      <c r="AD13" s="136">
        <v>0</v>
      </c>
      <c r="AE13" s="32" t="s">
        <v>149</v>
      </c>
    </row>
    <row r="14" spans="1:31" ht="16.95" customHeight="1" x14ac:dyDescent="0.25">
      <c r="A14" s="235" t="s">
        <v>158</v>
      </c>
      <c r="Z14" s="32">
        <v>4</v>
      </c>
      <c r="AA14" s="32">
        <v>4</v>
      </c>
      <c r="AB14" s="32">
        <v>4</v>
      </c>
      <c r="AC14" s="32">
        <v>4</v>
      </c>
      <c r="AD14" s="136">
        <v>0.1</v>
      </c>
      <c r="AE14" s="32" t="s">
        <v>150</v>
      </c>
    </row>
    <row r="15" spans="1:31" ht="25.95" customHeight="1" x14ac:dyDescent="0.25">
      <c r="A15" s="236" t="s">
        <v>197</v>
      </c>
      <c r="Z15" s="32">
        <v>8</v>
      </c>
      <c r="AA15" s="32">
        <v>8</v>
      </c>
      <c r="AB15" s="32">
        <v>8</v>
      </c>
      <c r="AC15" s="32">
        <v>8</v>
      </c>
      <c r="AD15" s="136">
        <v>0.2</v>
      </c>
      <c r="AE15" s="139"/>
    </row>
    <row r="16" spans="1:31" ht="16.95" customHeight="1" x14ac:dyDescent="0.25">
      <c r="A16" s="236" t="s">
        <v>215</v>
      </c>
      <c r="Z16" s="32">
        <v>12</v>
      </c>
      <c r="AA16" s="32">
        <v>12</v>
      </c>
      <c r="AB16" s="32">
        <v>12</v>
      </c>
      <c r="AC16" s="32">
        <v>12</v>
      </c>
      <c r="AD16" s="136">
        <f>AD15+10%</f>
        <v>0.30000000000000004</v>
      </c>
      <c r="AE16" s="139"/>
    </row>
    <row r="17" spans="1:31" ht="16.95" customHeight="1" x14ac:dyDescent="0.25">
      <c r="A17" s="236" t="s">
        <v>216</v>
      </c>
      <c r="Z17" s="134">
        <v>16</v>
      </c>
      <c r="AA17" s="134">
        <v>16</v>
      </c>
      <c r="AB17" s="134">
        <v>16</v>
      </c>
      <c r="AC17" s="134">
        <v>16</v>
      </c>
      <c r="AD17" s="136">
        <f t="shared" ref="AD17:AD23" si="0">AD16+10%</f>
        <v>0.4</v>
      </c>
      <c r="AE17" s="139"/>
    </row>
    <row r="18" spans="1:31" ht="16.95" customHeight="1" x14ac:dyDescent="0.25">
      <c r="A18" s="236" t="s">
        <v>217</v>
      </c>
      <c r="Z18" s="139">
        <v>20</v>
      </c>
      <c r="AA18" s="139">
        <v>20</v>
      </c>
      <c r="AB18" s="139">
        <v>20</v>
      </c>
      <c r="AC18" s="139">
        <v>20</v>
      </c>
      <c r="AD18" s="136">
        <f t="shared" si="0"/>
        <v>0.5</v>
      </c>
      <c r="AE18" s="139"/>
    </row>
    <row r="19" spans="1:31" ht="16.95" customHeight="1" thickBot="1" x14ac:dyDescent="0.3">
      <c r="A19" s="237" t="s">
        <v>218</v>
      </c>
      <c r="Z19" s="139">
        <v>24</v>
      </c>
      <c r="AA19" s="139">
        <v>24</v>
      </c>
      <c r="AB19" s="139">
        <v>24</v>
      </c>
      <c r="AC19" s="139">
        <v>24</v>
      </c>
      <c r="AD19" s="136">
        <f t="shared" si="0"/>
        <v>0.6</v>
      </c>
      <c r="AE19" s="139"/>
    </row>
    <row r="20" spans="1:31" ht="12.45" customHeight="1" x14ac:dyDescent="0.25">
      <c r="Z20" s="33"/>
      <c r="AA20" s="33"/>
      <c r="AB20" s="33"/>
      <c r="AC20" s="32"/>
      <c r="AD20" s="136">
        <f t="shared" si="0"/>
        <v>0.7</v>
      </c>
      <c r="AE20" s="139"/>
    </row>
    <row r="21" spans="1:31" ht="12.45" customHeight="1" x14ac:dyDescent="0.25">
      <c r="Z21" s="33"/>
      <c r="AA21" s="33"/>
      <c r="AB21" s="33"/>
      <c r="AC21" s="32"/>
      <c r="AD21" s="136">
        <f t="shared" si="0"/>
        <v>0.79999999999999993</v>
      </c>
      <c r="AE21" s="139"/>
    </row>
    <row r="22" spans="1:31" ht="12.45" customHeight="1" x14ac:dyDescent="0.25">
      <c r="Z22" s="33"/>
      <c r="AA22" s="33"/>
      <c r="AB22" s="33"/>
      <c r="AC22" s="134"/>
      <c r="AD22" s="136">
        <f t="shared" si="0"/>
        <v>0.89999999999999991</v>
      </c>
      <c r="AE22" s="139"/>
    </row>
    <row r="23" spans="1:31" ht="12.45" customHeight="1" x14ac:dyDescent="0.25">
      <c r="AC23" s="134"/>
      <c r="AD23" s="136">
        <f t="shared" si="0"/>
        <v>0.99999999999999989</v>
      </c>
      <c r="AE23" s="139"/>
    </row>
  </sheetData>
  <sheetProtection password="D833" sheet="1" objects="1" scenarios="1"/>
  <protectedRanges>
    <protectedRange password="D833" sqref="B3:B10" name="Input Data Range"/>
  </protectedRanges>
  <dataConsolidate/>
  <dataValidations count="5">
    <dataValidation type="list" allowBlank="1" showInputMessage="1" showErrorMessage="1" sqref="B4">
      <formula1>$Z$13:$Z$19</formula1>
    </dataValidation>
    <dataValidation type="list" allowBlank="1" showInputMessage="1" showErrorMessage="1" sqref="B5">
      <formula1>$AA$13:$AA$19</formula1>
    </dataValidation>
    <dataValidation type="list" allowBlank="1" showInputMessage="1" showErrorMessage="1" sqref="B7">
      <formula1>$AB$13:$AB$19</formula1>
    </dataValidation>
    <dataValidation type="list" allowBlank="1" showInputMessage="1" showErrorMessage="1" sqref="B8:B9 B6">
      <formula1>$AD$13:$AD$23</formula1>
    </dataValidation>
    <dataValidation type="list" allowBlank="1" showInputMessage="1" showErrorMessage="1" sqref="B3">
      <formula1>$AE$13:$AE$14</formula1>
    </dataValidation>
  </dataValidations>
  <pageMargins left="0.7" right="0.7" top="0.75" bottom="0.75" header="0.3" footer="0.3"/>
  <pageSetup orientation="landscape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188"/>
  <sheetViews>
    <sheetView showGridLines="0" zoomScaleNormal="100" zoomScaleSheetLayoutView="100" workbookViewId="0"/>
  </sheetViews>
  <sheetFormatPr defaultColWidth="9.21875" defaultRowHeight="10.199999999999999" x14ac:dyDescent="0.2"/>
  <cols>
    <col min="1" max="1" width="1.77734375" style="33" customWidth="1"/>
    <col min="2" max="2" width="14.21875" style="61" customWidth="1"/>
    <col min="3" max="3" width="23.77734375" style="61" customWidth="1"/>
    <col min="4" max="4" width="15.77734375" style="61" customWidth="1"/>
    <col min="5" max="5" width="12.77734375" style="61" customWidth="1"/>
    <col min="6" max="6" width="6" style="61" customWidth="1"/>
    <col min="7" max="7" width="20.21875" style="61" customWidth="1"/>
    <col min="8" max="8" width="3.21875" style="61" customWidth="1"/>
    <col min="9" max="9" width="14" style="33" customWidth="1"/>
    <col min="10" max="10" width="13.21875" style="32" hidden="1" customWidth="1"/>
    <col min="11" max="11" width="14.77734375" style="32" hidden="1" customWidth="1"/>
    <col min="12" max="12" width="29.77734375" style="33" hidden="1" customWidth="1"/>
    <col min="13" max="13" width="18.77734375" style="32" hidden="1" customWidth="1"/>
    <col min="14" max="15" width="25" style="32" hidden="1" customWidth="1"/>
    <col min="16" max="16" width="14.77734375" style="32" hidden="1" customWidth="1"/>
    <col min="17" max="17" width="21.109375" style="33" hidden="1" customWidth="1"/>
    <col min="18" max="18" width="12.21875" style="33" hidden="1" customWidth="1"/>
    <col min="19" max="20" width="21.109375" style="33" hidden="1" customWidth="1"/>
    <col min="21" max="26" width="16.5546875" style="33" hidden="1" customWidth="1"/>
    <col min="27" max="27" width="14.6640625" style="33" hidden="1" customWidth="1"/>
    <col min="28" max="29" width="21.77734375" style="33" hidden="1" customWidth="1"/>
    <col min="30" max="30" width="17.33203125" style="33" hidden="1" customWidth="1"/>
    <col min="31" max="33" width="21.77734375" style="33" hidden="1" customWidth="1"/>
    <col min="34" max="41" width="0" style="33" hidden="1" customWidth="1"/>
    <col min="42" max="16384" width="9.21875" style="33"/>
  </cols>
  <sheetData>
    <row r="1" spans="1:15" ht="11.4" customHeight="1" x14ac:dyDescent="0.2">
      <c r="A1" s="124"/>
      <c r="B1" s="223"/>
      <c r="C1" s="223"/>
      <c r="D1" s="223"/>
      <c r="E1" s="223"/>
      <c r="F1" s="223"/>
      <c r="G1" s="223"/>
      <c r="H1" s="223"/>
      <c r="I1" s="240"/>
      <c r="J1" s="31"/>
      <c r="K1" s="31"/>
      <c r="L1" s="29"/>
      <c r="M1" s="31"/>
    </row>
    <row r="2" spans="1:15" ht="17.399999999999999" customHeight="1" x14ac:dyDescent="0.2">
      <c r="A2" s="124"/>
      <c r="B2" s="271" t="s">
        <v>229</v>
      </c>
      <c r="C2" s="271"/>
      <c r="D2" s="271"/>
      <c r="E2" s="271"/>
      <c r="F2" s="271"/>
      <c r="G2" s="223"/>
      <c r="H2" s="223"/>
      <c r="I2" s="223"/>
      <c r="J2" s="34"/>
      <c r="K2" s="34"/>
      <c r="L2" s="34"/>
      <c r="M2" s="34"/>
      <c r="N2" s="35"/>
      <c r="O2" s="35"/>
    </row>
    <row r="3" spans="1:15" ht="19.2" customHeight="1" x14ac:dyDescent="0.2">
      <c r="A3" s="124"/>
      <c r="B3" s="271"/>
      <c r="C3" s="271"/>
      <c r="D3" s="271"/>
      <c r="E3" s="271"/>
      <c r="F3" s="271"/>
      <c r="G3" s="223"/>
      <c r="H3" s="223"/>
      <c r="I3" s="223"/>
      <c r="J3" s="34"/>
      <c r="K3" s="34"/>
      <c r="L3" s="34"/>
      <c r="M3" s="34"/>
      <c r="N3" s="35"/>
      <c r="O3" s="35"/>
    </row>
    <row r="4" spans="1:15" ht="5.4" customHeight="1" x14ac:dyDescent="0.2">
      <c r="J4" s="31"/>
      <c r="K4" s="31"/>
      <c r="L4" s="29"/>
      <c r="M4" s="31"/>
    </row>
    <row r="5" spans="1:15" x14ac:dyDescent="0.2">
      <c r="B5" s="278" t="s">
        <v>219</v>
      </c>
      <c r="C5" s="279"/>
      <c r="D5" s="279"/>
      <c r="E5" s="279"/>
      <c r="F5" s="279"/>
      <c r="G5" s="279"/>
      <c r="H5" s="117"/>
      <c r="I5" s="76" t="s">
        <v>20</v>
      </c>
      <c r="J5" s="31"/>
      <c r="K5" s="31" t="s">
        <v>10</v>
      </c>
      <c r="L5" s="29" t="s">
        <v>19</v>
      </c>
      <c r="M5" s="31"/>
    </row>
    <row r="6" spans="1:15" x14ac:dyDescent="0.2">
      <c r="B6" s="77">
        <v>1</v>
      </c>
      <c r="C6" s="275" t="s">
        <v>29</v>
      </c>
      <c r="D6" s="275"/>
      <c r="E6" s="275"/>
      <c r="F6" s="275"/>
      <c r="G6" s="275"/>
      <c r="H6" s="275"/>
      <c r="I6" s="219" t="s">
        <v>74</v>
      </c>
      <c r="J6" s="31"/>
      <c r="K6" s="31"/>
      <c r="L6" s="29"/>
      <c r="M6" s="31"/>
    </row>
    <row r="7" spans="1:15" s="41" customFormat="1" x14ac:dyDescent="0.25">
      <c r="B7" s="241">
        <v>2</v>
      </c>
      <c r="C7" s="281" t="s">
        <v>72</v>
      </c>
      <c r="D7" s="281"/>
      <c r="E7" s="281"/>
      <c r="F7" s="281"/>
      <c r="G7" s="281"/>
      <c r="H7" s="281"/>
      <c r="I7" s="219" t="s">
        <v>64</v>
      </c>
      <c r="J7" s="37" t="str">
        <f>VLOOKUP(I7,C47:E71,1,FALSE)</f>
        <v>175W MH</v>
      </c>
      <c r="K7" s="38">
        <f>VLOOKUP(I7,C47:E71,2,FALSE)</f>
        <v>208</v>
      </c>
      <c r="L7" s="39">
        <f>VLOOKUP(I7,C47:E71,3,FALSE)</f>
        <v>15000</v>
      </c>
      <c r="M7" s="36"/>
      <c r="N7" s="40" t="str">
        <f>J7</f>
        <v>175W MH</v>
      </c>
      <c r="O7" s="157"/>
    </row>
    <row r="8" spans="1:15" s="41" customFormat="1" x14ac:dyDescent="0.25">
      <c r="B8" s="77">
        <v>3</v>
      </c>
      <c r="C8" s="275" t="s">
        <v>128</v>
      </c>
      <c r="D8" s="275"/>
      <c r="E8" s="275"/>
      <c r="F8" s="275"/>
      <c r="G8" s="275"/>
      <c r="H8" s="275"/>
      <c r="I8" s="219">
        <v>1000</v>
      </c>
      <c r="J8" s="38"/>
      <c r="K8" s="38"/>
      <c r="L8" s="38"/>
      <c r="M8" s="36"/>
    </row>
    <row r="9" spans="1:15" s="41" customFormat="1" x14ac:dyDescent="0.25">
      <c r="B9" s="77">
        <v>4</v>
      </c>
      <c r="C9" s="275" t="s">
        <v>129</v>
      </c>
      <c r="D9" s="275"/>
      <c r="E9" s="275"/>
      <c r="F9" s="275"/>
      <c r="G9" s="275"/>
      <c r="H9" s="275"/>
      <c r="I9" s="219">
        <v>1000</v>
      </c>
      <c r="J9" s="38"/>
      <c r="K9" s="38"/>
      <c r="L9" s="38"/>
      <c r="M9" s="36"/>
    </row>
    <row r="10" spans="1:15" s="41" customFormat="1" x14ac:dyDescent="0.25">
      <c r="B10" s="77">
        <v>5</v>
      </c>
      <c r="C10" s="275" t="s">
        <v>47</v>
      </c>
      <c r="D10" s="275"/>
      <c r="E10" s="275"/>
      <c r="F10" s="275"/>
      <c r="G10" s="275"/>
      <c r="H10" s="275"/>
      <c r="I10" s="220">
        <v>300</v>
      </c>
      <c r="J10" s="38"/>
      <c r="K10" s="38"/>
      <c r="L10" s="38"/>
      <c r="M10" s="36"/>
    </row>
    <row r="11" spans="1:15" s="41" customFormat="1" x14ac:dyDescent="0.25">
      <c r="B11" s="77">
        <v>6</v>
      </c>
      <c r="C11" s="275" t="s">
        <v>27</v>
      </c>
      <c r="D11" s="275"/>
      <c r="E11" s="275"/>
      <c r="F11" s="275"/>
      <c r="G11" s="275"/>
      <c r="H11" s="275"/>
      <c r="I11" s="221">
        <v>25</v>
      </c>
      <c r="J11" s="38"/>
      <c r="K11" s="38"/>
      <c r="L11" s="38"/>
      <c r="M11" s="36"/>
    </row>
    <row r="12" spans="1:15" s="41" customFormat="1" x14ac:dyDescent="0.25">
      <c r="B12" s="77">
        <v>7</v>
      </c>
      <c r="C12" s="275" t="s">
        <v>28</v>
      </c>
      <c r="D12" s="275"/>
      <c r="E12" s="275"/>
      <c r="F12" s="275"/>
      <c r="G12" s="275"/>
      <c r="H12" s="275"/>
      <c r="I12" s="221">
        <v>2</v>
      </c>
      <c r="J12" s="38"/>
      <c r="K12" s="38"/>
      <c r="L12" s="38"/>
      <c r="M12" s="36"/>
    </row>
    <row r="13" spans="1:15" s="41" customFormat="1" x14ac:dyDescent="0.25">
      <c r="B13" s="77">
        <v>8</v>
      </c>
      <c r="C13" s="275" t="s">
        <v>33</v>
      </c>
      <c r="D13" s="275"/>
      <c r="E13" s="275"/>
      <c r="F13" s="275"/>
      <c r="G13" s="275"/>
      <c r="H13" s="275"/>
      <c r="I13" s="222">
        <v>1</v>
      </c>
      <c r="J13" s="36"/>
      <c r="K13" s="38"/>
      <c r="L13" s="38"/>
      <c r="M13" s="36"/>
      <c r="N13" s="42"/>
      <c r="O13" s="42"/>
    </row>
    <row r="14" spans="1:15" s="41" customFormat="1" x14ac:dyDescent="0.25">
      <c r="B14" s="77">
        <v>9</v>
      </c>
      <c r="C14" s="275" t="s">
        <v>34</v>
      </c>
      <c r="D14" s="275"/>
      <c r="E14" s="275"/>
      <c r="F14" s="275"/>
      <c r="G14" s="275"/>
      <c r="H14" s="275"/>
      <c r="I14" s="219">
        <v>2</v>
      </c>
      <c r="J14" s="36"/>
      <c r="K14" s="38"/>
      <c r="L14" s="38"/>
      <c r="M14" s="36"/>
      <c r="N14" s="42"/>
      <c r="O14" s="42"/>
    </row>
    <row r="15" spans="1:15" s="41" customFormat="1" x14ac:dyDescent="0.25">
      <c r="B15" s="77">
        <v>10</v>
      </c>
      <c r="C15" s="275" t="s">
        <v>17</v>
      </c>
      <c r="D15" s="275"/>
      <c r="E15" s="275"/>
      <c r="F15" s="275"/>
      <c r="G15" s="275"/>
      <c r="H15" s="275"/>
      <c r="I15" s="221">
        <v>80</v>
      </c>
      <c r="J15" s="36"/>
      <c r="K15" s="38"/>
      <c r="L15" s="38"/>
      <c r="M15" s="36"/>
    </row>
    <row r="16" spans="1:15" s="41" customFormat="1" x14ac:dyDescent="0.25">
      <c r="B16" s="77">
        <v>11</v>
      </c>
      <c r="C16" s="275" t="s">
        <v>18</v>
      </c>
      <c r="D16" s="275"/>
      <c r="E16" s="275"/>
      <c r="F16" s="275"/>
      <c r="G16" s="275"/>
      <c r="H16" s="275"/>
      <c r="I16" s="221">
        <v>0.09</v>
      </c>
      <c r="J16" s="38"/>
      <c r="K16" s="38"/>
      <c r="L16" s="38"/>
      <c r="M16" s="36"/>
    </row>
    <row r="17" spans="2:15" s="41" customFormat="1" x14ac:dyDescent="0.25">
      <c r="B17" s="77">
        <v>12</v>
      </c>
      <c r="C17" s="275" t="s">
        <v>23</v>
      </c>
      <c r="D17" s="275"/>
      <c r="E17" s="275"/>
      <c r="F17" s="275"/>
      <c r="G17" s="275"/>
      <c r="H17" s="275"/>
      <c r="I17" s="219">
        <v>24</v>
      </c>
      <c r="J17" s="43"/>
      <c r="K17" s="38">
        <f>I17*52*7</f>
        <v>8736</v>
      </c>
      <c r="L17" s="44" t="s">
        <v>21</v>
      </c>
      <c r="M17" s="36"/>
    </row>
    <row r="18" spans="2:15" s="41" customFormat="1" x14ac:dyDescent="0.25">
      <c r="B18" s="77">
        <v>13</v>
      </c>
      <c r="C18" s="100" t="s">
        <v>102</v>
      </c>
      <c r="D18" s="101"/>
      <c r="E18" s="101"/>
      <c r="F18" s="101"/>
      <c r="G18" s="101"/>
      <c r="H18" s="102"/>
      <c r="I18" s="219" t="s">
        <v>104</v>
      </c>
      <c r="J18" s="43" t="s">
        <v>103</v>
      </c>
      <c r="K18" s="38"/>
      <c r="L18" s="44"/>
      <c r="M18" s="36"/>
    </row>
    <row r="19" spans="2:15" s="41" customFormat="1" x14ac:dyDescent="0.25">
      <c r="B19" s="77">
        <v>14</v>
      </c>
      <c r="C19" s="103" t="s">
        <v>97</v>
      </c>
      <c r="D19" s="104"/>
      <c r="E19" s="104"/>
      <c r="F19" s="104"/>
      <c r="G19" s="104"/>
      <c r="H19" s="105"/>
      <c r="I19" s="106">
        <v>30</v>
      </c>
      <c r="J19" s="43" t="s">
        <v>104</v>
      </c>
      <c r="K19" s="38"/>
      <c r="L19" s="44"/>
      <c r="M19" s="36"/>
    </row>
    <row r="20" spans="2:15" s="41" customFormat="1" x14ac:dyDescent="0.25">
      <c r="B20" s="77">
        <v>15</v>
      </c>
      <c r="C20" s="103" t="s">
        <v>98</v>
      </c>
      <c r="D20" s="104"/>
      <c r="E20" s="104"/>
      <c r="F20" s="104"/>
      <c r="G20" s="104"/>
      <c r="H20" s="105"/>
      <c r="I20" s="122">
        <v>0.9</v>
      </c>
      <c r="J20" s="43"/>
      <c r="K20" s="38"/>
      <c r="L20" s="44"/>
      <c r="M20" s="36"/>
    </row>
    <row r="21" spans="2:15" s="41" customFormat="1" x14ac:dyDescent="0.25">
      <c r="B21" s="77">
        <v>16</v>
      </c>
      <c r="C21" s="272" t="s">
        <v>105</v>
      </c>
      <c r="D21" s="273"/>
      <c r="E21" s="273"/>
      <c r="F21" s="273"/>
      <c r="G21" s="273"/>
      <c r="H21" s="274"/>
      <c r="I21" s="106">
        <v>50</v>
      </c>
      <c r="J21" s="96">
        <f>(I21-32)*5/9</f>
        <v>10</v>
      </c>
      <c r="K21" s="38"/>
      <c r="L21" s="44"/>
      <c r="M21" s="36"/>
    </row>
    <row r="22" spans="2:15" s="41" customFormat="1" x14ac:dyDescent="0.25">
      <c r="B22" s="77">
        <v>17</v>
      </c>
      <c r="C22" s="272" t="s">
        <v>99</v>
      </c>
      <c r="D22" s="273"/>
      <c r="E22" s="273"/>
      <c r="F22" s="273"/>
      <c r="G22" s="273"/>
      <c r="H22" s="274"/>
      <c r="I22" s="106">
        <v>80</v>
      </c>
      <c r="J22" s="96">
        <f>(I22-32)*5/9</f>
        <v>26.666666666666668</v>
      </c>
      <c r="K22" s="38"/>
      <c r="L22" s="44"/>
      <c r="M22" s="36"/>
    </row>
    <row r="23" spans="2:15" s="41" customFormat="1" x14ac:dyDescent="0.25">
      <c r="B23" s="77">
        <v>18</v>
      </c>
      <c r="C23" s="103" t="s">
        <v>100</v>
      </c>
      <c r="D23" s="104"/>
      <c r="E23" s="104"/>
      <c r="F23" s="104"/>
      <c r="G23" s="104"/>
      <c r="H23" s="105"/>
      <c r="I23" s="107">
        <f>J23</f>
        <v>1.6988999999999981</v>
      </c>
      <c r="J23" s="97">
        <f>(J21+273.15)/((J22+273.15)-(J21+273.15))*0.1</f>
        <v>1.6988999999999981</v>
      </c>
      <c r="K23" s="38"/>
      <c r="L23" s="44"/>
      <c r="M23" s="144"/>
    </row>
    <row r="24" spans="2:15" s="41" customFormat="1" x14ac:dyDescent="0.25">
      <c r="B24" s="77">
        <v>19</v>
      </c>
      <c r="C24" s="275" t="s">
        <v>130</v>
      </c>
      <c r="D24" s="275"/>
      <c r="E24" s="275"/>
      <c r="F24" s="275"/>
      <c r="G24" s="275"/>
      <c r="H24" s="275"/>
      <c r="I24" s="108">
        <v>104</v>
      </c>
      <c r="J24" s="98"/>
      <c r="K24" s="38"/>
      <c r="L24" s="144" t="s">
        <v>182</v>
      </c>
      <c r="M24" s="144" t="s">
        <v>183</v>
      </c>
    </row>
    <row r="25" spans="2:15" s="41" customFormat="1" x14ac:dyDescent="0.25">
      <c r="B25" s="241">
        <v>20</v>
      </c>
      <c r="C25" s="281" t="s">
        <v>73</v>
      </c>
      <c r="D25" s="281"/>
      <c r="E25" s="281"/>
      <c r="F25" s="281"/>
      <c r="G25" s="281"/>
      <c r="H25" s="281"/>
      <c r="I25" s="219" t="s">
        <v>144</v>
      </c>
      <c r="J25" s="71" t="str">
        <f>VLOOKUP(I25,L48:N53,1,FALSE)</f>
        <v>VMV  7L - 58W</v>
      </c>
      <c r="K25" s="38">
        <f>VLOOKUP(I25,L48:N53,2, FALSE)</f>
        <v>58.4</v>
      </c>
      <c r="L25" s="45">
        <f>VLOOKUP(I25,L48:N53,3,FALSE)</f>
        <v>172700</v>
      </c>
      <c r="M25" s="45">
        <f>VLOOKUP(J25,R49:T53,3,FALSE)</f>
        <v>131000</v>
      </c>
      <c r="N25" s="46" t="str">
        <f>J25</f>
        <v>VMV  7L - 58W</v>
      </c>
      <c r="O25" s="155"/>
    </row>
    <row r="26" spans="2:15" s="41" customFormat="1" x14ac:dyDescent="0.25">
      <c r="B26" s="77">
        <v>21</v>
      </c>
      <c r="C26" s="275" t="s">
        <v>11</v>
      </c>
      <c r="D26" s="275"/>
      <c r="E26" s="275"/>
      <c r="F26" s="275"/>
      <c r="G26" s="275"/>
      <c r="H26" s="275"/>
      <c r="I26" s="220">
        <v>704.4</v>
      </c>
      <c r="J26" s="47"/>
      <c r="K26" s="38"/>
      <c r="L26" s="44"/>
      <c r="M26" s="36"/>
    </row>
    <row r="27" spans="2:15" s="41" customFormat="1" x14ac:dyDescent="0.25">
      <c r="B27" s="77">
        <v>22</v>
      </c>
      <c r="C27" s="100" t="s">
        <v>200</v>
      </c>
      <c r="D27" s="101"/>
      <c r="E27" s="101"/>
      <c r="F27" s="101"/>
      <c r="G27" s="101"/>
      <c r="H27" s="102"/>
      <c r="I27" s="220">
        <f>I8*200</f>
        <v>200000</v>
      </c>
      <c r="J27" s="47"/>
      <c r="K27" s="38"/>
      <c r="L27" s="44"/>
      <c r="M27" s="36"/>
    </row>
    <row r="28" spans="2:15" s="41" customFormat="1" x14ac:dyDescent="0.25">
      <c r="B28" s="77">
        <v>23</v>
      </c>
      <c r="C28" s="282" t="s">
        <v>108</v>
      </c>
      <c r="D28" s="283"/>
      <c r="E28" s="283"/>
      <c r="F28" s="283"/>
      <c r="G28" s="283"/>
      <c r="H28" s="284"/>
      <c r="I28" s="221">
        <v>0</v>
      </c>
      <c r="J28" s="47"/>
      <c r="K28" s="38"/>
      <c r="L28" s="44"/>
      <c r="M28" s="36"/>
    </row>
    <row r="29" spans="2:15" s="41" customFormat="1" x14ac:dyDescent="0.25">
      <c r="B29" s="77">
        <v>24</v>
      </c>
      <c r="C29" s="114" t="s">
        <v>107</v>
      </c>
      <c r="D29" s="115"/>
      <c r="E29" s="115"/>
      <c r="F29" s="115"/>
      <c r="G29" s="115"/>
      <c r="H29" s="116"/>
      <c r="I29" s="221">
        <v>0</v>
      </c>
      <c r="J29" s="47"/>
      <c r="K29" s="38"/>
      <c r="L29" s="44"/>
      <c r="M29" s="36"/>
    </row>
    <row r="30" spans="2:15" s="41" customFormat="1" x14ac:dyDescent="0.25">
      <c r="B30" s="77">
        <v>25</v>
      </c>
      <c r="C30" s="114" t="s">
        <v>106</v>
      </c>
      <c r="D30" s="115"/>
      <c r="E30" s="115"/>
      <c r="F30" s="115"/>
      <c r="G30" s="115"/>
      <c r="H30" s="116"/>
      <c r="I30" s="221">
        <v>7500</v>
      </c>
      <c r="J30" s="47"/>
      <c r="K30" s="38"/>
      <c r="L30" s="44"/>
      <c r="M30" s="36"/>
    </row>
    <row r="31" spans="2:15" s="41" customFormat="1" x14ac:dyDescent="0.25">
      <c r="B31" s="77">
        <v>26</v>
      </c>
      <c r="C31" s="280" t="s">
        <v>109</v>
      </c>
      <c r="D31" s="280"/>
      <c r="E31" s="280"/>
      <c r="F31" s="280"/>
      <c r="G31" s="280"/>
      <c r="H31" s="280"/>
      <c r="I31" s="221">
        <v>7500</v>
      </c>
      <c r="J31" s="48"/>
      <c r="K31" s="38"/>
      <c r="L31" s="144" t="s">
        <v>151</v>
      </c>
      <c r="M31" s="144" t="s">
        <v>152</v>
      </c>
    </row>
    <row r="32" spans="2:15" s="41" customFormat="1" x14ac:dyDescent="0.25">
      <c r="B32" s="241">
        <v>27</v>
      </c>
      <c r="C32" s="281" t="s">
        <v>132</v>
      </c>
      <c r="D32" s="281"/>
      <c r="E32" s="281"/>
      <c r="F32" s="281"/>
      <c r="G32" s="281"/>
      <c r="H32" s="281"/>
      <c r="I32" s="219" t="s">
        <v>144</v>
      </c>
      <c r="J32" s="71" t="str">
        <f>VLOOKUP(I32,W49:Y53,1,FALSE)</f>
        <v>VMV  7L - 58W</v>
      </c>
      <c r="K32" s="38">
        <f>VLOOKUP(I32,W49:Y53,2, FALSE)</f>
        <v>58.4</v>
      </c>
      <c r="L32" s="45">
        <f>VLOOKUP(I32,W49:Y53,3, FALSE)</f>
        <v>259050</v>
      </c>
      <c r="M32" s="45">
        <f>VLOOKUP(I32,AC48:AE52,3, FALSE)</f>
        <v>262000</v>
      </c>
    </row>
    <row r="33" spans="2:31" s="41" customFormat="1" x14ac:dyDescent="0.25">
      <c r="B33" s="77">
        <v>28</v>
      </c>
      <c r="C33" s="100" t="s">
        <v>192</v>
      </c>
      <c r="D33" s="101"/>
      <c r="E33" s="101"/>
      <c r="F33" s="101"/>
      <c r="G33" s="101"/>
      <c r="H33" s="102"/>
      <c r="I33" s="106">
        <v>200</v>
      </c>
      <c r="J33" s="48"/>
      <c r="K33" s="38"/>
      <c r="L33" s="39"/>
      <c r="M33" s="36"/>
    </row>
    <row r="34" spans="2:31" s="41" customFormat="1" x14ac:dyDescent="0.25">
      <c r="B34" s="77">
        <v>29</v>
      </c>
      <c r="C34" s="275" t="s">
        <v>206</v>
      </c>
      <c r="D34" s="275"/>
      <c r="E34" s="275"/>
      <c r="F34" s="275"/>
      <c r="G34" s="275"/>
      <c r="H34" s="275"/>
      <c r="I34" s="221">
        <v>1130.2</v>
      </c>
      <c r="J34" s="48"/>
      <c r="K34" s="38"/>
      <c r="L34" s="39"/>
      <c r="M34" s="36"/>
      <c r="R34" s="42"/>
    </row>
    <row r="35" spans="2:31" s="41" customFormat="1" x14ac:dyDescent="0.25">
      <c r="B35" s="77">
        <v>30</v>
      </c>
      <c r="C35" s="100" t="s">
        <v>193</v>
      </c>
      <c r="D35" s="101"/>
      <c r="E35" s="101"/>
      <c r="F35" s="101"/>
      <c r="G35" s="101"/>
      <c r="H35" s="102"/>
      <c r="I35" s="106">
        <v>800</v>
      </c>
      <c r="J35" s="48"/>
      <c r="K35" s="38"/>
      <c r="L35" s="39"/>
      <c r="M35" s="36"/>
    </row>
    <row r="36" spans="2:31" s="41" customFormat="1" x14ac:dyDescent="0.25">
      <c r="B36" s="77">
        <v>31</v>
      </c>
      <c r="C36" s="100" t="s">
        <v>207</v>
      </c>
      <c r="D36" s="101"/>
      <c r="E36" s="101"/>
      <c r="F36" s="101"/>
      <c r="G36" s="101"/>
      <c r="H36" s="102"/>
      <c r="I36" s="221">
        <v>1028.22</v>
      </c>
      <c r="J36" s="48"/>
      <c r="K36" s="38"/>
      <c r="L36" s="39"/>
      <c r="M36" s="36"/>
      <c r="R36" s="42"/>
    </row>
    <row r="37" spans="2:31" s="41" customFormat="1" x14ac:dyDescent="0.25">
      <c r="B37" s="77">
        <v>32</v>
      </c>
      <c r="C37" s="282" t="s">
        <v>108</v>
      </c>
      <c r="D37" s="283"/>
      <c r="E37" s="283"/>
      <c r="F37" s="283"/>
      <c r="G37" s="283"/>
      <c r="H37" s="284"/>
      <c r="I37" s="221">
        <v>0</v>
      </c>
      <c r="J37" s="48"/>
      <c r="K37" s="38"/>
      <c r="L37" s="39"/>
      <c r="M37" s="36"/>
    </row>
    <row r="38" spans="2:31" s="41" customFormat="1" x14ac:dyDescent="0.25">
      <c r="B38" s="77">
        <v>33</v>
      </c>
      <c r="C38" s="160" t="s">
        <v>191</v>
      </c>
      <c r="D38" s="161"/>
      <c r="E38" s="161"/>
      <c r="F38" s="161"/>
      <c r="G38" s="161"/>
      <c r="H38" s="162"/>
      <c r="I38" s="221">
        <v>20000</v>
      </c>
      <c r="J38" s="48"/>
      <c r="K38" s="38"/>
      <c r="L38" s="39"/>
      <c r="M38" s="36"/>
    </row>
    <row r="39" spans="2:31" s="41" customFormat="1" x14ac:dyDescent="0.25">
      <c r="B39" s="77">
        <v>34</v>
      </c>
      <c r="C39" s="160" t="s">
        <v>190</v>
      </c>
      <c r="D39" s="161"/>
      <c r="E39" s="161"/>
      <c r="F39" s="161"/>
      <c r="G39" s="161"/>
      <c r="H39" s="162"/>
      <c r="I39" s="221">
        <v>3000</v>
      </c>
      <c r="J39" s="48"/>
      <c r="K39" s="38"/>
      <c r="L39" s="39"/>
      <c r="M39" s="36"/>
    </row>
    <row r="40" spans="2:31" s="41" customFormat="1" x14ac:dyDescent="0.25">
      <c r="B40" s="77">
        <v>35</v>
      </c>
      <c r="C40" s="160" t="s">
        <v>189</v>
      </c>
      <c r="D40" s="161"/>
      <c r="E40" s="161"/>
      <c r="F40" s="161"/>
      <c r="G40" s="161"/>
      <c r="H40" s="162"/>
      <c r="I40" s="221">
        <v>2500</v>
      </c>
      <c r="J40" s="48"/>
      <c r="K40" s="38"/>
      <c r="L40" s="39"/>
      <c r="M40" s="36"/>
    </row>
    <row r="41" spans="2:31" s="41" customFormat="1" x14ac:dyDescent="0.25">
      <c r="B41" s="77">
        <v>36</v>
      </c>
      <c r="C41" s="242" t="s">
        <v>170</v>
      </c>
      <c r="D41" s="109"/>
      <c r="E41" s="109"/>
      <c r="F41" s="109"/>
      <c r="G41" s="109"/>
      <c r="H41" s="110"/>
      <c r="I41" s="243">
        <f>'Controls Input Sheet'!B4</f>
        <v>8</v>
      </c>
      <c r="J41" s="48"/>
      <c r="K41" s="38">
        <f>I41*52*7</f>
        <v>2912</v>
      </c>
      <c r="L41" s="39"/>
      <c r="M41" s="159">
        <f>SUM(K41:K43)/K17</f>
        <v>0.55000000000000004</v>
      </c>
    </row>
    <row r="42" spans="2:31" s="41" customFormat="1" x14ac:dyDescent="0.25">
      <c r="B42" s="77">
        <v>37</v>
      </c>
      <c r="C42" s="242" t="s">
        <v>171</v>
      </c>
      <c r="D42" s="109"/>
      <c r="E42" s="109"/>
      <c r="F42" s="109"/>
      <c r="G42" s="109"/>
      <c r="H42" s="110"/>
      <c r="I42" s="244">
        <f>'Controls Input Sheet'!B5*(100%-'Controls Input Sheet'!B6)</f>
        <v>1.2000000000000002</v>
      </c>
      <c r="J42" s="154"/>
      <c r="K42" s="38">
        <f>I42*52*7</f>
        <v>436.80000000000007</v>
      </c>
      <c r="L42" s="39"/>
      <c r="M42" s="36"/>
    </row>
    <row r="43" spans="2:31" s="41" customFormat="1" x14ac:dyDescent="0.25">
      <c r="B43" s="77">
        <v>38</v>
      </c>
      <c r="C43" s="242" t="s">
        <v>172</v>
      </c>
      <c r="D43" s="109"/>
      <c r="E43" s="109"/>
      <c r="F43" s="109"/>
      <c r="G43" s="109"/>
      <c r="H43" s="110"/>
      <c r="I43" s="243">
        <f>'Controls Input Sheet'!B7*'Controls Input Sheet'!B8</f>
        <v>4</v>
      </c>
      <c r="J43" s="48"/>
      <c r="K43" s="38">
        <f>I43*52*7</f>
        <v>1456</v>
      </c>
      <c r="L43" s="39"/>
      <c r="M43" s="36"/>
    </row>
    <row r="44" spans="2:31" s="41" customFormat="1" x14ac:dyDescent="0.25">
      <c r="B44" s="77">
        <v>39</v>
      </c>
      <c r="C44" s="280" t="s">
        <v>188</v>
      </c>
      <c r="D44" s="280"/>
      <c r="E44" s="280"/>
      <c r="F44" s="280"/>
      <c r="G44" s="280"/>
      <c r="H44" s="280"/>
      <c r="I44" s="138">
        <f>SUM(K41:K43)/K17</f>
        <v>0.55000000000000004</v>
      </c>
      <c r="J44" s="48"/>
      <c r="K44" s="38"/>
      <c r="L44" s="39"/>
      <c r="M44" s="36"/>
    </row>
    <row r="45" spans="2:31" hidden="1" x14ac:dyDescent="0.2">
      <c r="B45" s="276" t="s">
        <v>16</v>
      </c>
      <c r="C45" s="277"/>
      <c r="D45" s="49"/>
      <c r="E45" s="50"/>
      <c r="F45" s="51"/>
      <c r="G45" s="119"/>
      <c r="L45" s="29"/>
      <c r="U45" s="41"/>
      <c r="V45" s="41"/>
      <c r="W45" s="41"/>
      <c r="X45" s="41"/>
      <c r="Y45" s="41"/>
      <c r="Z45" s="41"/>
      <c r="AA45" s="41"/>
      <c r="AB45" s="41"/>
      <c r="AC45" s="135"/>
    </row>
    <row r="46" spans="2:31" hidden="1" x14ac:dyDescent="0.2">
      <c r="B46" s="78"/>
      <c r="C46" s="53" t="s">
        <v>15</v>
      </c>
      <c r="D46" s="54" t="s">
        <v>10</v>
      </c>
      <c r="E46" s="55" t="s">
        <v>19</v>
      </c>
      <c r="F46" s="51"/>
      <c r="G46" s="119"/>
      <c r="L46" s="29"/>
      <c r="U46" s="32"/>
      <c r="V46" s="32"/>
      <c r="W46" s="32"/>
      <c r="X46" s="32"/>
      <c r="Y46" s="32"/>
      <c r="Z46" s="32"/>
      <c r="AA46" s="32"/>
      <c r="AB46" s="285" t="s">
        <v>152</v>
      </c>
      <c r="AC46" s="286"/>
      <c r="AD46" s="286"/>
      <c r="AE46" s="287"/>
    </row>
    <row r="47" spans="2:31" hidden="1" x14ac:dyDescent="0.2">
      <c r="B47" s="92" t="s">
        <v>12</v>
      </c>
      <c r="C47" s="86" t="s">
        <v>51</v>
      </c>
      <c r="D47" s="56">
        <v>130</v>
      </c>
      <c r="E47" s="57">
        <v>24000</v>
      </c>
      <c r="F47" s="51"/>
      <c r="G47" s="119"/>
      <c r="K47" s="285" t="s">
        <v>184</v>
      </c>
      <c r="L47" s="286"/>
      <c r="M47" s="286"/>
      <c r="N47" s="287"/>
      <c r="O47" s="49"/>
      <c r="Q47" s="285" t="s">
        <v>185</v>
      </c>
      <c r="R47" s="286"/>
      <c r="S47" s="286"/>
      <c r="T47" s="287"/>
      <c r="U47" s="32"/>
      <c r="V47" s="285" t="s">
        <v>151</v>
      </c>
      <c r="W47" s="286"/>
      <c r="X47" s="286"/>
      <c r="Y47" s="287"/>
      <c r="Z47" s="49"/>
      <c r="AA47" s="32"/>
      <c r="AB47" s="142"/>
      <c r="AC47" s="143" t="s">
        <v>15</v>
      </c>
      <c r="AD47" s="52" t="s">
        <v>10</v>
      </c>
      <c r="AE47" s="89" t="s">
        <v>19</v>
      </c>
    </row>
    <row r="48" spans="2:31" hidden="1" x14ac:dyDescent="0.2">
      <c r="B48" s="93" t="s">
        <v>13</v>
      </c>
      <c r="C48" s="87" t="s">
        <v>52</v>
      </c>
      <c r="D48" s="58">
        <v>188</v>
      </c>
      <c r="E48" s="59">
        <v>24000</v>
      </c>
      <c r="F48" s="60"/>
      <c r="G48" s="119"/>
      <c r="K48" s="120"/>
      <c r="L48" s="121" t="s">
        <v>15</v>
      </c>
      <c r="M48" s="52" t="s">
        <v>10</v>
      </c>
      <c r="N48" s="89" t="s">
        <v>19</v>
      </c>
      <c r="O48" s="158"/>
      <c r="Q48" s="148"/>
      <c r="R48" s="149" t="s">
        <v>15</v>
      </c>
      <c r="S48" s="52" t="s">
        <v>10</v>
      </c>
      <c r="T48" s="89" t="s">
        <v>19</v>
      </c>
      <c r="U48" s="32"/>
      <c r="V48" s="131"/>
      <c r="W48" s="132" t="s">
        <v>15</v>
      </c>
      <c r="X48" s="52" t="s">
        <v>10</v>
      </c>
      <c r="Y48" s="89" t="s">
        <v>19</v>
      </c>
      <c r="Z48" s="158"/>
      <c r="AA48" s="32"/>
      <c r="AB48" s="90" t="s">
        <v>12</v>
      </c>
      <c r="AC48" s="125" t="s">
        <v>142</v>
      </c>
      <c r="AD48" s="126">
        <v>26.4</v>
      </c>
      <c r="AE48" s="91">
        <f>VLOOKUP(AC48,$AC$57:$AD$61,2,FALSE)</f>
        <v>262000</v>
      </c>
    </row>
    <row r="49" spans="2:40" hidden="1" x14ac:dyDescent="0.2">
      <c r="B49" s="93" t="s">
        <v>14</v>
      </c>
      <c r="C49" s="87" t="s">
        <v>69</v>
      </c>
      <c r="D49" s="58">
        <v>240</v>
      </c>
      <c r="E49" s="59">
        <v>24000</v>
      </c>
      <c r="F49" s="60"/>
      <c r="G49" s="119"/>
      <c r="K49" s="90" t="s">
        <v>12</v>
      </c>
      <c r="L49" s="125" t="s">
        <v>142</v>
      </c>
      <c r="M49" s="126">
        <v>26.4</v>
      </c>
      <c r="N49" s="91">
        <f>IF($I$24&gt;=149,$O$60,IF($I$24&gt;131,AVERAGE($O$60),IF($I$24&gt;104,AVERAGE($O$59),IF($I$24&gt;77,AVERAGE($O$58),IF($I$24&lt;=77,$O$57,0)))))</f>
        <v>172700</v>
      </c>
      <c r="O49" s="112"/>
      <c r="Q49" s="90" t="s">
        <v>12</v>
      </c>
      <c r="R49" s="125" t="s">
        <v>142</v>
      </c>
      <c r="S49" s="126">
        <v>26.4</v>
      </c>
      <c r="T49" s="91">
        <f>VLOOKUP(R49,$R$57:$S$61,2,FALSE)</f>
        <v>131000</v>
      </c>
      <c r="U49" s="134"/>
      <c r="V49" s="90" t="s">
        <v>12</v>
      </c>
      <c r="W49" s="125" t="s">
        <v>142</v>
      </c>
      <c r="X49" s="126">
        <v>26.4</v>
      </c>
      <c r="Y49" s="91">
        <f>IF($I$24&gt;=149,$Z$60,IF($I$24&gt;131,AVERAGE($Z$60),IF($I$24&gt;104,AVERAGE($Z$59),IF($I$24&gt;77,AVERAGE($Z$58),IF($I$24&lt;=77,$Z$57,0)))))</f>
        <v>259050</v>
      </c>
      <c r="Z49" s="112"/>
      <c r="AA49" s="32"/>
      <c r="AB49" s="90" t="s">
        <v>13</v>
      </c>
      <c r="AC49" s="125" t="s">
        <v>143</v>
      </c>
      <c r="AD49" s="126">
        <v>42.4</v>
      </c>
      <c r="AE49" s="91">
        <f t="shared" ref="AE49:AE52" si="0">VLOOKUP(AC49,$AC$57:$AD$61,2,FALSE)</f>
        <v>262000</v>
      </c>
    </row>
    <row r="50" spans="2:40" hidden="1" x14ac:dyDescent="0.2">
      <c r="B50" s="93" t="s">
        <v>49</v>
      </c>
      <c r="C50" s="87" t="s">
        <v>70</v>
      </c>
      <c r="D50" s="58">
        <v>295</v>
      </c>
      <c r="E50" s="59">
        <v>24000</v>
      </c>
      <c r="F50" s="119"/>
      <c r="G50" s="119"/>
      <c r="K50" s="90" t="s">
        <v>13</v>
      </c>
      <c r="L50" s="125" t="s">
        <v>143</v>
      </c>
      <c r="M50" s="126">
        <v>42.4</v>
      </c>
      <c r="N50" s="91">
        <f>IF($I$24&gt;=149,$O$66,IF($I$24&gt;131,AVERAGE($O$66),IF($I$24&gt;104,AVERAGE($O$65),IF($I$24&gt;77,AVERAGE($O$64),IF($I$24&lt;=77,$O$63,0)))))</f>
        <v>172700</v>
      </c>
      <c r="O50" s="112"/>
      <c r="Q50" s="90" t="s">
        <v>13</v>
      </c>
      <c r="R50" s="125" t="s">
        <v>143</v>
      </c>
      <c r="S50" s="126">
        <v>42.4</v>
      </c>
      <c r="T50" s="91">
        <f t="shared" ref="T50:T53" si="1">VLOOKUP(R50,$R$57:$S$61,2,FALSE)</f>
        <v>131000</v>
      </c>
      <c r="U50" s="32"/>
      <c r="V50" s="90" t="s">
        <v>13</v>
      </c>
      <c r="W50" s="125" t="s">
        <v>143</v>
      </c>
      <c r="X50" s="126">
        <v>42.4</v>
      </c>
      <c r="Y50" s="91">
        <f>IF($I$24&gt;=149,$Z$66,IF($I$24&gt;131,AVERAGE($Z$66),IF($I$24&gt;104,AVERAGE($Z$65),IF($I$24&gt;77,AVERAGE($Z$64),IF($I$24&lt;=77,$Z$63,0)))))</f>
        <v>259050</v>
      </c>
      <c r="Z50" s="112"/>
      <c r="AA50" s="32"/>
      <c r="AB50" s="90" t="s">
        <v>14</v>
      </c>
      <c r="AC50" s="125" t="s">
        <v>144</v>
      </c>
      <c r="AD50" s="126">
        <v>58.4</v>
      </c>
      <c r="AE50" s="91">
        <f t="shared" si="0"/>
        <v>262000</v>
      </c>
    </row>
    <row r="51" spans="2:40" hidden="1" x14ac:dyDescent="0.2">
      <c r="B51" s="93" t="s">
        <v>50</v>
      </c>
      <c r="C51" s="87" t="s">
        <v>53</v>
      </c>
      <c r="D51" s="58">
        <v>125</v>
      </c>
      <c r="E51" s="59">
        <v>24000</v>
      </c>
      <c r="F51" s="119"/>
      <c r="G51" s="119"/>
      <c r="K51" s="90" t="s">
        <v>14</v>
      </c>
      <c r="L51" s="125" t="s">
        <v>144</v>
      </c>
      <c r="M51" s="126">
        <v>58.4</v>
      </c>
      <c r="N51" s="91">
        <f>IF($I$24&gt;=149,$O$72,IF($I$24&gt;131,AVERAGE($O$72),IF($I$24&gt;104,AVERAGE($O$71),IF($I$24&gt;77,AVERAGE($O$70),IF($I$24&lt;=77,$O$69,0)))))</f>
        <v>172700</v>
      </c>
      <c r="O51" s="112"/>
      <c r="Q51" s="90" t="s">
        <v>14</v>
      </c>
      <c r="R51" s="125" t="s">
        <v>144</v>
      </c>
      <c r="S51" s="126">
        <v>58.4</v>
      </c>
      <c r="T51" s="91">
        <f t="shared" si="1"/>
        <v>131000</v>
      </c>
      <c r="U51" s="32"/>
      <c r="V51" s="90" t="s">
        <v>14</v>
      </c>
      <c r="W51" s="125" t="s">
        <v>144</v>
      </c>
      <c r="X51" s="126">
        <v>58.4</v>
      </c>
      <c r="Y51" s="91">
        <f>IF($I$24&gt;=149,$Z$72,IF($I$24&gt;131,AVERAGE($Z$72),IF($I$24&gt;104,AVERAGE($Z$71),IF($I$24&gt;77,AVERAGE($Z$70),IF($I$24&lt;=77,$Z$69,0)))))</f>
        <v>259050</v>
      </c>
      <c r="Z51" s="112"/>
      <c r="AA51" s="32"/>
      <c r="AB51" s="90" t="s">
        <v>49</v>
      </c>
      <c r="AC51" s="125" t="s">
        <v>145</v>
      </c>
      <c r="AD51" s="126">
        <v>74.400000000000006</v>
      </c>
      <c r="AE51" s="91">
        <f t="shared" si="0"/>
        <v>235200</v>
      </c>
    </row>
    <row r="52" spans="2:40" hidden="1" x14ac:dyDescent="0.2">
      <c r="B52" s="93" t="s">
        <v>55</v>
      </c>
      <c r="C52" s="87" t="s">
        <v>54</v>
      </c>
      <c r="D52" s="58">
        <v>205</v>
      </c>
      <c r="E52" s="59">
        <v>24000</v>
      </c>
      <c r="F52" s="119"/>
      <c r="G52" s="119"/>
      <c r="H52" s="111"/>
      <c r="I52" s="51"/>
      <c r="J52" s="112"/>
      <c r="K52" s="90" t="s">
        <v>49</v>
      </c>
      <c r="L52" s="125" t="s">
        <v>145</v>
      </c>
      <c r="M52" s="126">
        <v>74.400000000000006</v>
      </c>
      <c r="N52" s="91">
        <f>IF($I$24&gt;=149,$O$78,IF($I$24&gt;131,AVERAGE($O$78),IF($I$24&gt;104,AVERAGE($O$77),IF($I$24&gt;77,AVERAGE($O$76),IF($I$24&lt;=77,$O$75,0)))))</f>
        <v>119000</v>
      </c>
      <c r="O52" s="112"/>
      <c r="P52" s="33"/>
      <c r="Q52" s="90" t="s">
        <v>49</v>
      </c>
      <c r="R52" s="125" t="s">
        <v>145</v>
      </c>
      <c r="S52" s="126">
        <v>74.400000000000006</v>
      </c>
      <c r="T52" s="91">
        <f t="shared" si="1"/>
        <v>117600</v>
      </c>
      <c r="V52" s="90" t="s">
        <v>49</v>
      </c>
      <c r="W52" s="125" t="s">
        <v>145</v>
      </c>
      <c r="X52" s="126">
        <v>74.400000000000006</v>
      </c>
      <c r="Y52" s="91">
        <f>IF($I$24&gt;=149,$Z$78,IF($I$24&gt;131,AVERAGE($Z$78),IF($I$24&gt;104,AVERAGE($Z$77),IF($I$24&gt;77,AVERAGE($Z$76),IF($I$24&lt;=77,$Z$75,0)))))</f>
        <v>178500</v>
      </c>
      <c r="Z52" s="112"/>
      <c r="AB52" s="90" t="s">
        <v>50</v>
      </c>
      <c r="AC52" s="125" t="s">
        <v>146</v>
      </c>
      <c r="AD52" s="126">
        <v>90.4</v>
      </c>
      <c r="AE52" s="91">
        <f t="shared" si="0"/>
        <v>174600</v>
      </c>
    </row>
    <row r="53" spans="2:40" hidden="1" x14ac:dyDescent="0.2">
      <c r="B53" s="93" t="s">
        <v>57</v>
      </c>
      <c r="C53" s="87" t="s">
        <v>56</v>
      </c>
      <c r="D53" s="58">
        <v>285</v>
      </c>
      <c r="E53" s="59">
        <v>24000</v>
      </c>
      <c r="F53" s="119"/>
      <c r="G53" s="119"/>
      <c r="H53" s="111"/>
      <c r="I53" s="51"/>
      <c r="J53" s="113"/>
      <c r="K53" s="90" t="s">
        <v>50</v>
      </c>
      <c r="L53" s="125" t="s">
        <v>146</v>
      </c>
      <c r="M53" s="126">
        <v>90.4</v>
      </c>
      <c r="N53" s="91">
        <f>IF($I$24&gt;=149,$O$84,IF($I$24&gt;131,AVERAGE($O$84),IF($I$24&gt;104,AVERAGE($O$83),IF($I$24&gt;77,AVERAGE($O$82),IF($I$24&lt;=77,$O$81,0)))))</f>
        <v>86400</v>
      </c>
      <c r="O53" s="112"/>
      <c r="P53" s="33"/>
      <c r="Q53" s="90" t="s">
        <v>50</v>
      </c>
      <c r="R53" s="125" t="s">
        <v>146</v>
      </c>
      <c r="S53" s="126">
        <v>90.4</v>
      </c>
      <c r="T53" s="91">
        <f t="shared" si="1"/>
        <v>87300</v>
      </c>
      <c r="V53" s="90" t="s">
        <v>50</v>
      </c>
      <c r="W53" s="125" t="s">
        <v>146</v>
      </c>
      <c r="X53" s="126">
        <v>90.4</v>
      </c>
      <c r="Y53" s="91">
        <f>IF($I$24&gt;=149,$Z$84,IF($I$24&gt;131,AVERAGE($Z$84),IF($I$24&gt;104,AVERAGE($Z$83),IF($I$24&gt;77,AVERAGE($Z$82),IF($I$24&lt;=77,$Z$81,0)))))</f>
        <v>129600</v>
      </c>
      <c r="Z53" s="112"/>
      <c r="AB53" s="32"/>
      <c r="AC53" s="134"/>
    </row>
    <row r="54" spans="2:40" ht="10.8" hidden="1" thickBot="1" x14ac:dyDescent="0.25">
      <c r="B54" s="93" t="s">
        <v>59</v>
      </c>
      <c r="C54" s="87" t="s">
        <v>78</v>
      </c>
      <c r="D54" s="58">
        <v>372</v>
      </c>
      <c r="E54" s="59">
        <v>30000</v>
      </c>
      <c r="F54" s="119"/>
      <c r="G54" s="119"/>
      <c r="H54" s="111"/>
      <c r="I54" s="51"/>
      <c r="J54" s="113"/>
      <c r="K54" s="112"/>
      <c r="L54" s="29"/>
      <c r="M54" s="31"/>
      <c r="N54" s="33"/>
      <c r="O54" s="33"/>
      <c r="P54" s="33"/>
      <c r="Q54" s="112"/>
      <c r="R54" s="29"/>
      <c r="S54" s="31"/>
      <c r="AB54" s="134"/>
      <c r="AC54" s="134"/>
    </row>
    <row r="55" spans="2:40" ht="58.05" hidden="1" customHeight="1" thickBot="1" x14ac:dyDescent="0.25">
      <c r="B55" s="93" t="s">
        <v>77</v>
      </c>
      <c r="C55" s="87" t="s">
        <v>58</v>
      </c>
      <c r="D55" s="58">
        <v>90</v>
      </c>
      <c r="E55" s="59">
        <v>15000</v>
      </c>
      <c r="F55" s="119"/>
      <c r="G55" s="119"/>
      <c r="H55" s="119"/>
      <c r="I55" s="75"/>
      <c r="L55" s="288" t="s">
        <v>180</v>
      </c>
      <c r="M55" s="290"/>
      <c r="N55" s="290"/>
      <c r="O55" s="289"/>
      <c r="P55" s="151"/>
      <c r="Q55" s="32"/>
      <c r="R55" s="288" t="s">
        <v>181</v>
      </c>
      <c r="S55" s="289"/>
      <c r="W55" s="288" t="s">
        <v>178</v>
      </c>
      <c r="X55" s="290"/>
      <c r="Y55" s="290"/>
      <c r="Z55" s="289"/>
      <c r="AC55" s="288" t="s">
        <v>179</v>
      </c>
      <c r="AD55" s="289"/>
      <c r="AM55" s="33" t="s">
        <v>175</v>
      </c>
      <c r="AN55" s="33" t="s">
        <v>176</v>
      </c>
    </row>
    <row r="56" spans="2:40" ht="25.05" hidden="1" customHeight="1" x14ac:dyDescent="0.25">
      <c r="B56" s="93" t="s">
        <v>61</v>
      </c>
      <c r="C56" s="87" t="s">
        <v>60</v>
      </c>
      <c r="D56" s="58">
        <v>125</v>
      </c>
      <c r="E56" s="59">
        <v>15000</v>
      </c>
      <c r="F56" s="119"/>
      <c r="G56" s="119"/>
      <c r="H56" s="119"/>
      <c r="I56" s="75"/>
      <c r="L56" s="152" t="s">
        <v>177</v>
      </c>
      <c r="M56" s="153" t="s">
        <v>187</v>
      </c>
      <c r="N56" s="153" t="s">
        <v>186</v>
      </c>
      <c r="O56" s="153" t="s">
        <v>112</v>
      </c>
      <c r="P56" s="151"/>
      <c r="Q56" s="32"/>
      <c r="R56" s="152" t="s">
        <v>177</v>
      </c>
      <c r="S56" s="153" t="s">
        <v>112</v>
      </c>
      <c r="W56" s="152" t="s">
        <v>177</v>
      </c>
      <c r="X56" s="153" t="s">
        <v>187</v>
      </c>
      <c r="Y56" s="153" t="s">
        <v>186</v>
      </c>
      <c r="Z56" s="153" t="s">
        <v>112</v>
      </c>
      <c r="AC56" s="152" t="s">
        <v>177</v>
      </c>
      <c r="AD56" s="153" t="s">
        <v>112</v>
      </c>
      <c r="AM56" s="33" t="s">
        <v>14</v>
      </c>
      <c r="AN56" s="33" t="s">
        <v>55</v>
      </c>
    </row>
    <row r="57" spans="2:40" ht="37.5" hidden="1" customHeight="1" x14ac:dyDescent="0.25">
      <c r="B57" s="93" t="s">
        <v>63</v>
      </c>
      <c r="C57" s="87" t="s">
        <v>62</v>
      </c>
      <c r="D57" s="58">
        <v>185</v>
      </c>
      <c r="E57" s="59">
        <v>15000</v>
      </c>
      <c r="F57" s="119"/>
      <c r="G57" s="119"/>
      <c r="H57" s="119"/>
      <c r="I57" s="75"/>
      <c r="L57" s="125" t="s">
        <v>142</v>
      </c>
      <c r="M57" s="127" t="s">
        <v>113</v>
      </c>
      <c r="N57" s="129">
        <v>77</v>
      </c>
      <c r="O57" s="129">
        <v>362400</v>
      </c>
      <c r="P57" s="151"/>
      <c r="Q57" s="32"/>
      <c r="R57" s="125" t="s">
        <v>142</v>
      </c>
      <c r="S57" s="129">
        <v>131000</v>
      </c>
      <c r="W57" s="125" t="s">
        <v>142</v>
      </c>
      <c r="X57" s="127" t="s">
        <v>113</v>
      </c>
      <c r="Y57" s="129">
        <v>77</v>
      </c>
      <c r="Z57" s="128">
        <v>543600</v>
      </c>
      <c r="AC57" s="125" t="s">
        <v>142</v>
      </c>
      <c r="AD57" s="129">
        <v>262000</v>
      </c>
      <c r="AM57" s="33" t="s">
        <v>113</v>
      </c>
      <c r="AN57" s="33">
        <v>77</v>
      </c>
    </row>
    <row r="58" spans="2:40" ht="13.2" hidden="1" x14ac:dyDescent="0.25">
      <c r="B58" s="93" t="s">
        <v>65</v>
      </c>
      <c r="C58" s="87" t="s">
        <v>64</v>
      </c>
      <c r="D58" s="58">
        <v>208</v>
      </c>
      <c r="E58" s="59">
        <v>15000</v>
      </c>
      <c r="F58" s="119"/>
      <c r="G58" s="119"/>
      <c r="H58" s="119"/>
      <c r="I58" s="75"/>
      <c r="L58" s="125" t="s">
        <v>142</v>
      </c>
      <c r="M58" s="127" t="s">
        <v>114</v>
      </c>
      <c r="N58" s="129">
        <v>104</v>
      </c>
      <c r="O58" s="129">
        <v>172700</v>
      </c>
      <c r="P58" s="151"/>
      <c r="Q58" s="32"/>
      <c r="R58" s="125" t="s">
        <v>143</v>
      </c>
      <c r="S58" s="129">
        <v>131000</v>
      </c>
      <c r="W58" s="125" t="s">
        <v>142</v>
      </c>
      <c r="X58" s="127" t="s">
        <v>114</v>
      </c>
      <c r="Y58" s="129">
        <v>104</v>
      </c>
      <c r="Z58" s="128">
        <v>259050</v>
      </c>
      <c r="AC58" s="125" t="s">
        <v>143</v>
      </c>
      <c r="AD58" s="129">
        <v>262000</v>
      </c>
      <c r="AM58" s="33" t="s">
        <v>114</v>
      </c>
      <c r="AN58" s="33">
        <v>104</v>
      </c>
    </row>
    <row r="59" spans="2:40" ht="13.2" hidden="1" x14ac:dyDescent="0.25">
      <c r="B59" s="93" t="s">
        <v>66</v>
      </c>
      <c r="C59" s="87" t="s">
        <v>67</v>
      </c>
      <c r="D59" s="58">
        <v>288</v>
      </c>
      <c r="E59" s="59">
        <v>20000</v>
      </c>
      <c r="F59" s="119"/>
      <c r="G59" s="119"/>
      <c r="H59" s="119"/>
      <c r="I59" s="75"/>
      <c r="L59" s="125" t="s">
        <v>142</v>
      </c>
      <c r="M59" s="127" t="s">
        <v>115</v>
      </c>
      <c r="N59" s="129">
        <v>131</v>
      </c>
      <c r="O59" s="129">
        <v>81300</v>
      </c>
      <c r="P59" s="151"/>
      <c r="Q59" s="32"/>
      <c r="R59" s="125" t="s">
        <v>144</v>
      </c>
      <c r="S59" s="129">
        <v>131000</v>
      </c>
      <c r="W59" s="125" t="s">
        <v>142</v>
      </c>
      <c r="X59" s="127" t="s">
        <v>115</v>
      </c>
      <c r="Y59" s="129">
        <v>131</v>
      </c>
      <c r="Z59" s="128">
        <v>121950</v>
      </c>
      <c r="AC59" s="125" t="s">
        <v>144</v>
      </c>
      <c r="AD59" s="129">
        <v>262000</v>
      </c>
      <c r="AM59" s="33" t="s">
        <v>115</v>
      </c>
      <c r="AN59" s="33">
        <v>131</v>
      </c>
    </row>
    <row r="60" spans="2:40" ht="13.2" hidden="1" x14ac:dyDescent="0.25">
      <c r="B60" s="93" t="s">
        <v>71</v>
      </c>
      <c r="C60" s="87" t="s">
        <v>68</v>
      </c>
      <c r="D60" s="58">
        <v>368</v>
      </c>
      <c r="E60" s="59">
        <v>20000</v>
      </c>
      <c r="F60" s="119"/>
      <c r="G60" s="119"/>
      <c r="H60" s="119"/>
      <c r="I60" s="75"/>
      <c r="L60" s="125" t="s">
        <v>142</v>
      </c>
      <c r="M60" s="130" t="s">
        <v>131</v>
      </c>
      <c r="N60" s="129">
        <v>149</v>
      </c>
      <c r="O60" s="129">
        <v>47800</v>
      </c>
      <c r="P60" s="151"/>
      <c r="Q60" s="32"/>
      <c r="R60" s="125" t="s">
        <v>145</v>
      </c>
      <c r="S60" s="129">
        <v>117600</v>
      </c>
      <c r="W60" s="125" t="s">
        <v>142</v>
      </c>
      <c r="X60" s="130" t="s">
        <v>131</v>
      </c>
      <c r="Y60" s="129">
        <v>149</v>
      </c>
      <c r="Z60" s="128">
        <v>71700</v>
      </c>
      <c r="AC60" s="125" t="s">
        <v>145</v>
      </c>
      <c r="AD60" s="129">
        <v>235200</v>
      </c>
      <c r="AM60" s="33" t="s">
        <v>131</v>
      </c>
      <c r="AN60" s="33">
        <v>149</v>
      </c>
    </row>
    <row r="61" spans="2:40" ht="13.2" hidden="1" x14ac:dyDescent="0.25">
      <c r="B61" s="93" t="s">
        <v>75</v>
      </c>
      <c r="C61" s="87" t="s">
        <v>76</v>
      </c>
      <c r="D61" s="58">
        <v>452</v>
      </c>
      <c r="E61" s="59">
        <v>20000</v>
      </c>
      <c r="F61" s="119"/>
      <c r="G61" s="119"/>
      <c r="H61" s="119"/>
      <c r="I61" s="75"/>
      <c r="M61" s="33"/>
      <c r="O61" s="33"/>
      <c r="Q61" s="32"/>
      <c r="R61" s="125" t="s">
        <v>146</v>
      </c>
      <c r="S61" s="130">
        <v>87300</v>
      </c>
      <c r="Y61" s="32"/>
      <c r="AC61" s="125" t="s">
        <v>146</v>
      </c>
      <c r="AD61" s="130">
        <v>174600</v>
      </c>
    </row>
    <row r="62" spans="2:40" ht="13.2" hidden="1" x14ac:dyDescent="0.25">
      <c r="B62" s="93" t="s">
        <v>84</v>
      </c>
      <c r="C62" s="87" t="s">
        <v>124</v>
      </c>
      <c r="D62" s="58">
        <v>59.8</v>
      </c>
      <c r="E62" s="59">
        <v>100000</v>
      </c>
      <c r="F62" s="119"/>
      <c r="G62" s="119"/>
      <c r="H62" s="119"/>
      <c r="I62" s="75"/>
      <c r="L62" s="150" t="s">
        <v>177</v>
      </c>
      <c r="M62" s="99" t="s">
        <v>110</v>
      </c>
      <c r="N62" s="99" t="s">
        <v>186</v>
      </c>
      <c r="O62" s="99" t="s">
        <v>112</v>
      </c>
      <c r="P62" s="151"/>
      <c r="Q62" s="32"/>
      <c r="W62" s="150" t="s">
        <v>177</v>
      </c>
      <c r="X62" s="99" t="s">
        <v>110</v>
      </c>
      <c r="Y62" s="99" t="s">
        <v>186</v>
      </c>
      <c r="Z62" s="99" t="s">
        <v>111</v>
      </c>
    </row>
    <row r="63" spans="2:40" ht="13.2" hidden="1" x14ac:dyDescent="0.25">
      <c r="B63" s="93" t="s">
        <v>85</v>
      </c>
      <c r="C63" s="87" t="s">
        <v>125</v>
      </c>
      <c r="D63" s="58">
        <v>92</v>
      </c>
      <c r="E63" s="59">
        <v>100000</v>
      </c>
      <c r="F63" s="119"/>
      <c r="G63" s="119"/>
      <c r="H63" s="119"/>
      <c r="I63" s="75"/>
      <c r="L63" s="125" t="s">
        <v>143</v>
      </c>
      <c r="M63" s="127" t="s">
        <v>113</v>
      </c>
      <c r="N63" s="129">
        <v>77</v>
      </c>
      <c r="O63" s="129">
        <v>362400</v>
      </c>
      <c r="Q63" s="32"/>
      <c r="W63" s="125" t="s">
        <v>143</v>
      </c>
      <c r="X63" s="127" t="s">
        <v>113</v>
      </c>
      <c r="Y63" s="129">
        <v>77</v>
      </c>
      <c r="Z63" s="128">
        <v>543600</v>
      </c>
    </row>
    <row r="64" spans="2:40" ht="13.2" hidden="1" x14ac:dyDescent="0.25">
      <c r="B64" s="94" t="s">
        <v>87</v>
      </c>
      <c r="C64" s="87" t="s">
        <v>126</v>
      </c>
      <c r="D64" s="58">
        <v>162</v>
      </c>
      <c r="E64" s="59">
        <v>100000</v>
      </c>
      <c r="F64" s="119"/>
      <c r="G64" s="119"/>
      <c r="H64" s="119"/>
      <c r="I64" s="75"/>
      <c r="L64" s="125" t="s">
        <v>143</v>
      </c>
      <c r="M64" s="127" t="s">
        <v>114</v>
      </c>
      <c r="N64" s="129">
        <v>104</v>
      </c>
      <c r="O64" s="129">
        <v>172700</v>
      </c>
      <c r="Q64" s="32"/>
      <c r="W64" s="125" t="s">
        <v>143</v>
      </c>
      <c r="X64" s="127" t="s">
        <v>114</v>
      </c>
      <c r="Y64" s="129">
        <v>104</v>
      </c>
      <c r="Z64" s="128">
        <v>259050</v>
      </c>
    </row>
    <row r="65" spans="2:26" ht="13.2" hidden="1" x14ac:dyDescent="0.25">
      <c r="B65" s="93" t="s">
        <v>86</v>
      </c>
      <c r="C65" s="87" t="s">
        <v>90</v>
      </c>
      <c r="D65" s="58">
        <v>90</v>
      </c>
      <c r="E65" s="59">
        <v>15000</v>
      </c>
      <c r="F65" s="119"/>
      <c r="G65" s="119"/>
      <c r="H65" s="119"/>
      <c r="I65" s="75"/>
      <c r="L65" s="125" t="s">
        <v>143</v>
      </c>
      <c r="M65" s="127" t="s">
        <v>115</v>
      </c>
      <c r="N65" s="129">
        <v>131</v>
      </c>
      <c r="O65" s="129">
        <v>81300</v>
      </c>
      <c r="Q65" s="32"/>
      <c r="W65" s="125" t="s">
        <v>143</v>
      </c>
      <c r="X65" s="127" t="s">
        <v>115</v>
      </c>
      <c r="Y65" s="129">
        <v>131</v>
      </c>
      <c r="Z65" s="128">
        <v>121950</v>
      </c>
    </row>
    <row r="66" spans="2:26" ht="13.2" hidden="1" x14ac:dyDescent="0.25">
      <c r="B66" s="93" t="s">
        <v>88</v>
      </c>
      <c r="C66" s="87" t="s">
        <v>91</v>
      </c>
      <c r="D66" s="58">
        <v>125</v>
      </c>
      <c r="E66" s="59">
        <v>15000</v>
      </c>
      <c r="F66" s="119"/>
      <c r="G66" s="119"/>
      <c r="H66" s="119"/>
      <c r="I66" s="75"/>
      <c r="L66" s="125" t="s">
        <v>143</v>
      </c>
      <c r="M66" s="130" t="s">
        <v>131</v>
      </c>
      <c r="N66" s="129">
        <v>149</v>
      </c>
      <c r="O66" s="129">
        <v>47800</v>
      </c>
      <c r="Q66" s="32"/>
      <c r="W66" s="125" t="s">
        <v>143</v>
      </c>
      <c r="X66" s="130" t="s">
        <v>131</v>
      </c>
      <c r="Y66" s="129">
        <v>149</v>
      </c>
      <c r="Z66" s="128">
        <v>71700</v>
      </c>
    </row>
    <row r="67" spans="2:26" hidden="1" x14ac:dyDescent="0.2">
      <c r="B67" s="93" t="s">
        <v>89</v>
      </c>
      <c r="C67" s="87" t="s">
        <v>92</v>
      </c>
      <c r="D67" s="58">
        <v>185</v>
      </c>
      <c r="E67" s="59">
        <v>15000</v>
      </c>
      <c r="F67" s="119"/>
      <c r="G67" s="119"/>
      <c r="H67" s="119"/>
      <c r="I67" s="75"/>
      <c r="M67" s="33"/>
      <c r="O67" s="33"/>
      <c r="Q67" s="32"/>
      <c r="Y67" s="32"/>
    </row>
    <row r="68" spans="2:26" ht="13.2" hidden="1" x14ac:dyDescent="0.25">
      <c r="B68" s="93" t="s">
        <v>121</v>
      </c>
      <c r="C68" s="87" t="s">
        <v>93</v>
      </c>
      <c r="D68" s="58">
        <v>208</v>
      </c>
      <c r="E68" s="59">
        <v>15000</v>
      </c>
      <c r="F68" s="119"/>
      <c r="G68" s="119"/>
      <c r="H68" s="119"/>
      <c r="I68" s="75"/>
      <c r="L68" s="150" t="s">
        <v>177</v>
      </c>
      <c r="M68" s="99" t="s">
        <v>110</v>
      </c>
      <c r="N68" s="99" t="s">
        <v>186</v>
      </c>
      <c r="O68" s="99" t="s">
        <v>112</v>
      </c>
      <c r="Q68" s="32"/>
      <c r="W68" s="150" t="s">
        <v>177</v>
      </c>
      <c r="X68" s="99" t="s">
        <v>110</v>
      </c>
      <c r="Y68" s="99" t="s">
        <v>186</v>
      </c>
      <c r="Z68" s="99" t="s">
        <v>111</v>
      </c>
    </row>
    <row r="69" spans="2:26" ht="13.2" hidden="1" x14ac:dyDescent="0.25">
      <c r="B69" s="93" t="s">
        <v>122</v>
      </c>
      <c r="C69" s="87" t="s">
        <v>94</v>
      </c>
      <c r="D69" s="58">
        <v>288</v>
      </c>
      <c r="E69" s="59">
        <v>15000</v>
      </c>
      <c r="F69" s="119"/>
      <c r="G69" s="119"/>
      <c r="H69" s="119"/>
      <c r="I69" s="75"/>
      <c r="L69" s="125" t="s">
        <v>144</v>
      </c>
      <c r="M69" s="127" t="s">
        <v>113</v>
      </c>
      <c r="N69" s="129">
        <v>77</v>
      </c>
      <c r="O69" s="129">
        <v>362400</v>
      </c>
      <c r="Q69" s="32"/>
      <c r="W69" s="125" t="s">
        <v>144</v>
      </c>
      <c r="X69" s="127" t="s">
        <v>113</v>
      </c>
      <c r="Y69" s="129">
        <v>77</v>
      </c>
      <c r="Z69" s="128">
        <v>543600</v>
      </c>
    </row>
    <row r="70" spans="2:26" ht="13.2" hidden="1" x14ac:dyDescent="0.25">
      <c r="B70" s="93" t="s">
        <v>101</v>
      </c>
      <c r="C70" s="87" t="s">
        <v>95</v>
      </c>
      <c r="D70" s="58">
        <v>368</v>
      </c>
      <c r="E70" s="59">
        <v>20000</v>
      </c>
      <c r="F70" s="119"/>
      <c r="G70" s="79"/>
      <c r="H70" s="119"/>
      <c r="I70" s="75"/>
      <c r="L70" s="125" t="s">
        <v>144</v>
      </c>
      <c r="M70" s="127" t="s">
        <v>114</v>
      </c>
      <c r="N70" s="129">
        <v>104</v>
      </c>
      <c r="O70" s="129">
        <v>172700</v>
      </c>
      <c r="Q70" s="32"/>
      <c r="W70" s="125" t="s">
        <v>144</v>
      </c>
      <c r="X70" s="127" t="s">
        <v>114</v>
      </c>
      <c r="Y70" s="129">
        <v>104</v>
      </c>
      <c r="Z70" s="128">
        <v>259050</v>
      </c>
    </row>
    <row r="71" spans="2:26" ht="13.2" hidden="1" x14ac:dyDescent="0.25">
      <c r="B71" s="95" t="s">
        <v>123</v>
      </c>
      <c r="C71" s="88" t="s">
        <v>96</v>
      </c>
      <c r="D71" s="63">
        <v>452</v>
      </c>
      <c r="E71" s="64">
        <v>20000</v>
      </c>
      <c r="F71" s="119"/>
      <c r="G71" s="79"/>
      <c r="H71" s="62"/>
      <c r="I71" s="75"/>
      <c r="L71" s="125" t="s">
        <v>144</v>
      </c>
      <c r="M71" s="127" t="s">
        <v>115</v>
      </c>
      <c r="N71" s="129">
        <v>131</v>
      </c>
      <c r="O71" s="129">
        <v>81300</v>
      </c>
      <c r="Q71" s="32"/>
      <c r="W71" s="125" t="s">
        <v>144</v>
      </c>
      <c r="X71" s="127" t="s">
        <v>115</v>
      </c>
      <c r="Y71" s="129">
        <v>131</v>
      </c>
      <c r="Z71" s="128">
        <v>121950</v>
      </c>
    </row>
    <row r="72" spans="2:26" ht="13.2" hidden="1" x14ac:dyDescent="0.25">
      <c r="B72" s="123"/>
      <c r="C72" s="124"/>
      <c r="D72" s="124"/>
      <c r="E72" s="124"/>
      <c r="F72" s="119"/>
      <c r="G72" s="79"/>
      <c r="H72" s="80"/>
      <c r="I72" s="75"/>
      <c r="L72" s="125" t="s">
        <v>144</v>
      </c>
      <c r="M72" s="130" t="s">
        <v>131</v>
      </c>
      <c r="N72" s="129">
        <v>149</v>
      </c>
      <c r="O72" s="129">
        <v>47800</v>
      </c>
      <c r="Q72" s="32"/>
      <c r="W72" s="125" t="s">
        <v>144</v>
      </c>
      <c r="X72" s="130" t="s">
        <v>131</v>
      </c>
      <c r="Y72" s="129">
        <v>149</v>
      </c>
      <c r="Z72" s="128">
        <v>71700</v>
      </c>
    </row>
    <row r="73" spans="2:26" hidden="1" x14ac:dyDescent="0.2">
      <c r="B73" s="118"/>
      <c r="C73" s="119"/>
      <c r="D73" s="119"/>
      <c r="E73" s="119"/>
      <c r="F73" s="119"/>
      <c r="G73" s="79"/>
      <c r="H73" s="81"/>
      <c r="I73" s="75"/>
      <c r="M73" s="33"/>
      <c r="O73" s="33"/>
      <c r="Q73" s="32"/>
      <c r="Y73" s="32"/>
    </row>
    <row r="74" spans="2:26" ht="13.2" x14ac:dyDescent="0.25">
      <c r="B74" s="82" t="s">
        <v>30</v>
      </c>
      <c r="C74" s="119"/>
      <c r="D74" s="119"/>
      <c r="E74" s="119"/>
      <c r="F74" s="119"/>
      <c r="G74" s="119"/>
      <c r="H74" s="119"/>
      <c r="I74" s="75"/>
      <c r="L74" s="150" t="s">
        <v>177</v>
      </c>
      <c r="M74" s="99" t="s">
        <v>110</v>
      </c>
      <c r="N74" s="99" t="s">
        <v>186</v>
      </c>
      <c r="O74" s="99" t="s">
        <v>112</v>
      </c>
      <c r="Q74" s="32"/>
      <c r="W74" s="150" t="s">
        <v>177</v>
      </c>
      <c r="X74" s="99" t="s">
        <v>110</v>
      </c>
      <c r="Y74" s="99" t="s">
        <v>186</v>
      </c>
      <c r="Z74" s="99" t="s">
        <v>111</v>
      </c>
    </row>
    <row r="75" spans="2:26" ht="13.2" x14ac:dyDescent="0.25">
      <c r="B75" s="245" t="s">
        <v>35</v>
      </c>
      <c r="C75" s="119"/>
      <c r="D75" s="119"/>
      <c r="E75" s="119"/>
      <c r="F75" s="119"/>
      <c r="G75" s="119"/>
      <c r="H75" s="119"/>
      <c r="I75" s="75"/>
      <c r="L75" s="125" t="s">
        <v>145</v>
      </c>
      <c r="M75" s="127" t="s">
        <v>113</v>
      </c>
      <c r="N75" s="129">
        <v>77</v>
      </c>
      <c r="O75" s="129">
        <v>315500</v>
      </c>
      <c r="Q75" s="32"/>
      <c r="W75" s="125" t="s">
        <v>145</v>
      </c>
      <c r="X75" s="127" t="s">
        <v>113</v>
      </c>
      <c r="Y75" s="129">
        <v>77</v>
      </c>
      <c r="Z75" s="128">
        <v>473250</v>
      </c>
    </row>
    <row r="76" spans="2:26" ht="13.2" x14ac:dyDescent="0.25">
      <c r="B76" s="246" t="s">
        <v>25</v>
      </c>
      <c r="C76" s="119"/>
      <c r="D76" s="119"/>
      <c r="E76" s="119"/>
      <c r="F76" s="119"/>
      <c r="G76" s="119"/>
      <c r="H76" s="119"/>
      <c r="I76" s="75"/>
      <c r="L76" s="125" t="s">
        <v>145</v>
      </c>
      <c r="M76" s="127" t="s">
        <v>114</v>
      </c>
      <c r="N76" s="129">
        <v>104</v>
      </c>
      <c r="O76" s="129">
        <v>119000</v>
      </c>
      <c r="Q76" s="32"/>
      <c r="W76" s="125" t="s">
        <v>145</v>
      </c>
      <c r="X76" s="127" t="s">
        <v>114</v>
      </c>
      <c r="Y76" s="129">
        <v>104</v>
      </c>
      <c r="Z76" s="128">
        <v>178500</v>
      </c>
    </row>
    <row r="77" spans="2:26" ht="13.8" thickBot="1" x14ac:dyDescent="0.3">
      <c r="B77" s="247" t="s">
        <v>24</v>
      </c>
      <c r="C77" s="83"/>
      <c r="D77" s="83"/>
      <c r="E77" s="83"/>
      <c r="F77" s="83"/>
      <c r="G77" s="84"/>
      <c r="H77" s="83"/>
      <c r="I77" s="85"/>
      <c r="L77" s="125" t="s">
        <v>145</v>
      </c>
      <c r="M77" s="127" t="s">
        <v>115</v>
      </c>
      <c r="N77" s="129">
        <v>131</v>
      </c>
      <c r="O77" s="129">
        <v>52000</v>
      </c>
      <c r="P77" s="33"/>
      <c r="Q77" s="32"/>
      <c r="W77" s="125" t="s">
        <v>145</v>
      </c>
      <c r="X77" s="127" t="s">
        <v>115</v>
      </c>
      <c r="Y77" s="129">
        <v>131</v>
      </c>
      <c r="Z77" s="128">
        <v>78000</v>
      </c>
    </row>
    <row r="78" spans="2:26" ht="13.2" x14ac:dyDescent="0.25">
      <c r="C78" s="72"/>
      <c r="D78" s="72"/>
      <c r="E78" s="72"/>
      <c r="F78" s="72"/>
      <c r="G78" s="73"/>
      <c r="H78" s="72"/>
      <c r="I78" s="74"/>
      <c r="L78" s="125" t="s">
        <v>145</v>
      </c>
      <c r="M78" s="130" t="s">
        <v>131</v>
      </c>
      <c r="N78" s="129">
        <v>149</v>
      </c>
      <c r="O78" s="129">
        <v>30500</v>
      </c>
      <c r="Q78" s="32"/>
      <c r="W78" s="125" t="s">
        <v>145</v>
      </c>
      <c r="X78" s="130" t="s">
        <v>131</v>
      </c>
      <c r="Y78" s="129">
        <v>149</v>
      </c>
      <c r="Z78" s="128">
        <v>45750</v>
      </c>
    </row>
    <row r="79" spans="2:26" x14ac:dyDescent="0.2">
      <c r="C79" s="65"/>
      <c r="D79" s="65"/>
      <c r="E79" s="65"/>
      <c r="F79" s="65"/>
      <c r="G79" s="66"/>
      <c r="H79" s="65"/>
      <c r="I79" s="67"/>
      <c r="M79" s="33"/>
      <c r="O79" s="33"/>
      <c r="Q79" s="32"/>
      <c r="Y79" s="32"/>
    </row>
    <row r="80" spans="2:26" ht="13.2" x14ac:dyDescent="0.25">
      <c r="C80" s="65"/>
      <c r="D80" s="65"/>
      <c r="E80" s="65"/>
      <c r="F80" s="65"/>
      <c r="G80" s="66"/>
      <c r="H80" s="65"/>
      <c r="I80" s="67"/>
      <c r="L80" s="150" t="s">
        <v>177</v>
      </c>
      <c r="M80" s="99" t="s">
        <v>110</v>
      </c>
      <c r="N80" s="99" t="s">
        <v>186</v>
      </c>
      <c r="O80" s="99" t="s">
        <v>112</v>
      </c>
      <c r="Q80" s="32"/>
      <c r="W80" s="150" t="s">
        <v>177</v>
      </c>
      <c r="X80" s="99" t="s">
        <v>110</v>
      </c>
      <c r="Y80" s="99" t="s">
        <v>186</v>
      </c>
      <c r="Z80" s="99" t="s">
        <v>111</v>
      </c>
    </row>
    <row r="81" spans="2:26" ht="13.2" x14ac:dyDescent="0.25">
      <c r="B81" s="68"/>
      <c r="C81" s="68"/>
      <c r="D81" s="68"/>
      <c r="E81" s="68"/>
      <c r="F81" s="68"/>
      <c r="G81" s="69"/>
      <c r="H81" s="68"/>
      <c r="I81" s="70"/>
      <c r="L81" s="125" t="s">
        <v>146</v>
      </c>
      <c r="M81" s="127" t="s">
        <v>113</v>
      </c>
      <c r="N81" s="129">
        <v>77</v>
      </c>
      <c r="O81" s="129">
        <v>315500</v>
      </c>
      <c r="Q81" s="32"/>
      <c r="W81" s="125" t="s">
        <v>146</v>
      </c>
      <c r="X81" s="127" t="s">
        <v>113</v>
      </c>
      <c r="Y81" s="129">
        <v>77</v>
      </c>
      <c r="Z81" s="128">
        <v>473250</v>
      </c>
    </row>
    <row r="82" spans="2:26" ht="13.2" x14ac:dyDescent="0.25">
      <c r="B82" s="30"/>
      <c r="C82" s="30"/>
      <c r="D82" s="30"/>
      <c r="E82" s="30"/>
      <c r="F82" s="30"/>
      <c r="G82" s="30"/>
      <c r="H82" s="30"/>
      <c r="I82" s="29"/>
      <c r="L82" s="125" t="s">
        <v>146</v>
      </c>
      <c r="M82" s="127" t="s">
        <v>114</v>
      </c>
      <c r="N82" s="129">
        <v>104</v>
      </c>
      <c r="O82" s="129">
        <v>86400</v>
      </c>
      <c r="Q82" s="32"/>
      <c r="W82" s="125" t="s">
        <v>146</v>
      </c>
      <c r="X82" s="127" t="s">
        <v>114</v>
      </c>
      <c r="Y82" s="129">
        <v>104</v>
      </c>
      <c r="Z82" s="128">
        <v>129600</v>
      </c>
    </row>
    <row r="83" spans="2:26" ht="13.2" x14ac:dyDescent="0.25">
      <c r="L83" s="125" t="s">
        <v>146</v>
      </c>
      <c r="M83" s="127" t="s">
        <v>115</v>
      </c>
      <c r="N83" s="129">
        <v>131</v>
      </c>
      <c r="O83" s="129">
        <v>40300</v>
      </c>
      <c r="Q83" s="32"/>
      <c r="W83" s="125" t="s">
        <v>146</v>
      </c>
      <c r="X83" s="127" t="s">
        <v>115</v>
      </c>
      <c r="Y83" s="129">
        <v>131</v>
      </c>
      <c r="Z83" s="128">
        <v>60450</v>
      </c>
    </row>
    <row r="84" spans="2:26" ht="13.2" x14ac:dyDescent="0.25">
      <c r="L84" s="125" t="s">
        <v>146</v>
      </c>
      <c r="M84" s="130" t="s">
        <v>131</v>
      </c>
      <c r="N84" s="129">
        <v>149</v>
      </c>
      <c r="O84" s="129">
        <v>25300</v>
      </c>
      <c r="Q84" s="32"/>
      <c r="W84" s="125" t="s">
        <v>146</v>
      </c>
      <c r="X84" s="130" t="s">
        <v>131</v>
      </c>
      <c r="Y84" s="129">
        <v>149</v>
      </c>
      <c r="Z84" s="128">
        <v>37950</v>
      </c>
    </row>
    <row r="85" spans="2:26" x14ac:dyDescent="0.2">
      <c r="N85" s="33"/>
      <c r="O85" s="33"/>
    </row>
    <row r="86" spans="2:26" x14ac:dyDescent="0.2">
      <c r="N86" s="151"/>
      <c r="O86" s="151"/>
    </row>
    <row r="87" spans="2:26" x14ac:dyDescent="0.2">
      <c r="N87" s="151"/>
      <c r="O87" s="151"/>
    </row>
    <row r="88" spans="2:26" x14ac:dyDescent="0.2">
      <c r="N88" s="151"/>
      <c r="O88" s="151"/>
    </row>
    <row r="89" spans="2:26" x14ac:dyDescent="0.2">
      <c r="N89" s="151"/>
      <c r="O89" s="151"/>
    </row>
    <row r="90" spans="2:26" x14ac:dyDescent="0.2">
      <c r="N90" s="151"/>
      <c r="O90" s="151"/>
    </row>
    <row r="91" spans="2:26" x14ac:dyDescent="0.2">
      <c r="N91" s="151"/>
      <c r="O91" s="151"/>
    </row>
    <row r="92" spans="2:26" x14ac:dyDescent="0.2">
      <c r="N92" s="151"/>
      <c r="O92" s="151"/>
    </row>
    <row r="93" spans="2:26" x14ac:dyDescent="0.2">
      <c r="N93" s="151"/>
      <c r="O93" s="151"/>
    </row>
    <row r="94" spans="2:26" x14ac:dyDescent="0.2">
      <c r="N94" s="151"/>
      <c r="O94" s="151"/>
    </row>
    <row r="95" spans="2:26" x14ac:dyDescent="0.2">
      <c r="N95" s="151"/>
      <c r="O95" s="151"/>
    </row>
    <row r="96" spans="2:26" x14ac:dyDescent="0.2">
      <c r="N96" s="151"/>
      <c r="O96" s="151"/>
    </row>
    <row r="97" spans="14:15" x14ac:dyDescent="0.2">
      <c r="N97" s="151"/>
      <c r="O97" s="151"/>
    </row>
    <row r="98" spans="14:15" x14ac:dyDescent="0.2">
      <c r="N98" s="151"/>
      <c r="O98" s="151"/>
    </row>
    <row r="99" spans="14:15" x14ac:dyDescent="0.2">
      <c r="N99" s="151"/>
      <c r="O99" s="151"/>
    </row>
    <row r="100" spans="14:15" x14ac:dyDescent="0.2">
      <c r="N100" s="151"/>
      <c r="O100" s="151"/>
    </row>
    <row r="101" spans="14:15" x14ac:dyDescent="0.2">
      <c r="N101" s="151"/>
      <c r="O101" s="151"/>
    </row>
    <row r="102" spans="14:15" x14ac:dyDescent="0.2">
      <c r="N102" s="151"/>
      <c r="O102" s="151"/>
    </row>
    <row r="103" spans="14:15" x14ac:dyDescent="0.2">
      <c r="N103" s="151"/>
      <c r="O103" s="151"/>
    </row>
    <row r="104" spans="14:15" x14ac:dyDescent="0.2">
      <c r="N104" s="151"/>
      <c r="O104" s="151"/>
    </row>
    <row r="105" spans="14:15" x14ac:dyDescent="0.2">
      <c r="N105" s="151"/>
      <c r="O105" s="151"/>
    </row>
    <row r="106" spans="14:15" x14ac:dyDescent="0.2">
      <c r="N106" s="151"/>
      <c r="O106" s="151"/>
    </row>
    <row r="107" spans="14:15" x14ac:dyDescent="0.2">
      <c r="N107" s="151"/>
      <c r="O107" s="151"/>
    </row>
    <row r="108" spans="14:15" x14ac:dyDescent="0.2">
      <c r="N108" s="151"/>
      <c r="O108" s="151"/>
    </row>
    <row r="109" spans="14:15" x14ac:dyDescent="0.2">
      <c r="N109" s="151"/>
      <c r="O109" s="151"/>
    </row>
    <row r="110" spans="14:15" x14ac:dyDescent="0.2">
      <c r="N110" s="151"/>
      <c r="O110" s="151"/>
    </row>
    <row r="111" spans="14:15" x14ac:dyDescent="0.2">
      <c r="N111" s="151"/>
      <c r="O111" s="151"/>
    </row>
    <row r="112" spans="14:15" x14ac:dyDescent="0.2">
      <c r="N112" s="151"/>
      <c r="O112" s="151"/>
    </row>
    <row r="113" spans="14:15" x14ac:dyDescent="0.2">
      <c r="N113" s="151"/>
      <c r="O113" s="151"/>
    </row>
    <row r="114" spans="14:15" x14ac:dyDescent="0.2">
      <c r="N114" s="151"/>
      <c r="O114" s="151"/>
    </row>
    <row r="115" spans="14:15" x14ac:dyDescent="0.2">
      <c r="N115" s="151"/>
      <c r="O115" s="151"/>
    </row>
    <row r="116" spans="14:15" x14ac:dyDescent="0.2">
      <c r="N116" s="151"/>
      <c r="O116" s="151"/>
    </row>
    <row r="117" spans="14:15" x14ac:dyDescent="0.2">
      <c r="N117" s="151"/>
      <c r="O117" s="151"/>
    </row>
    <row r="118" spans="14:15" x14ac:dyDescent="0.2">
      <c r="N118" s="151"/>
      <c r="O118" s="151"/>
    </row>
    <row r="119" spans="14:15" x14ac:dyDescent="0.2">
      <c r="N119" s="151"/>
      <c r="O119" s="151"/>
    </row>
    <row r="120" spans="14:15" x14ac:dyDescent="0.2">
      <c r="N120" s="151"/>
      <c r="O120" s="151"/>
    </row>
    <row r="121" spans="14:15" x14ac:dyDescent="0.2">
      <c r="N121" s="151"/>
      <c r="O121" s="151"/>
    </row>
    <row r="122" spans="14:15" x14ac:dyDescent="0.2">
      <c r="N122" s="151"/>
      <c r="O122" s="151"/>
    </row>
    <row r="123" spans="14:15" x14ac:dyDescent="0.2">
      <c r="N123" s="151"/>
      <c r="O123" s="151"/>
    </row>
    <row r="124" spans="14:15" x14ac:dyDescent="0.2">
      <c r="N124" s="151"/>
      <c r="O124" s="151"/>
    </row>
    <row r="125" spans="14:15" x14ac:dyDescent="0.2">
      <c r="N125" s="151"/>
      <c r="O125" s="151"/>
    </row>
    <row r="126" spans="14:15" x14ac:dyDescent="0.2">
      <c r="N126" s="151"/>
      <c r="O126" s="151"/>
    </row>
    <row r="127" spans="14:15" x14ac:dyDescent="0.2">
      <c r="N127" s="151"/>
      <c r="O127" s="151"/>
    </row>
    <row r="128" spans="14:15" x14ac:dyDescent="0.2">
      <c r="N128" s="151"/>
      <c r="O128" s="151"/>
    </row>
    <row r="129" spans="14:15" x14ac:dyDescent="0.2">
      <c r="N129" s="151"/>
      <c r="O129" s="151"/>
    </row>
    <row r="130" spans="14:15" x14ac:dyDescent="0.2">
      <c r="N130" s="151"/>
      <c r="O130" s="151"/>
    </row>
    <row r="131" spans="14:15" x14ac:dyDescent="0.2">
      <c r="N131" s="151"/>
      <c r="O131" s="151"/>
    </row>
    <row r="132" spans="14:15" x14ac:dyDescent="0.2">
      <c r="N132" s="151"/>
      <c r="O132" s="151"/>
    </row>
    <row r="133" spans="14:15" x14ac:dyDescent="0.2">
      <c r="N133" s="151"/>
      <c r="O133" s="151"/>
    </row>
    <row r="134" spans="14:15" x14ac:dyDescent="0.2">
      <c r="N134" s="151"/>
      <c r="O134" s="151"/>
    </row>
    <row r="135" spans="14:15" x14ac:dyDescent="0.2">
      <c r="N135" s="151"/>
      <c r="O135" s="151"/>
    </row>
    <row r="136" spans="14:15" x14ac:dyDescent="0.2">
      <c r="N136" s="151"/>
      <c r="O136" s="151"/>
    </row>
    <row r="137" spans="14:15" x14ac:dyDescent="0.2">
      <c r="N137" s="151"/>
      <c r="O137" s="151"/>
    </row>
    <row r="138" spans="14:15" x14ac:dyDescent="0.2">
      <c r="N138" s="151"/>
      <c r="O138" s="151"/>
    </row>
    <row r="139" spans="14:15" x14ac:dyDescent="0.2">
      <c r="N139" s="151"/>
      <c r="O139" s="151"/>
    </row>
    <row r="140" spans="14:15" x14ac:dyDescent="0.2">
      <c r="N140" s="151"/>
      <c r="O140" s="151"/>
    </row>
    <row r="141" spans="14:15" x14ac:dyDescent="0.2">
      <c r="N141" s="151"/>
      <c r="O141" s="151"/>
    </row>
    <row r="142" spans="14:15" x14ac:dyDescent="0.2">
      <c r="N142" s="151"/>
      <c r="O142" s="151"/>
    </row>
    <row r="143" spans="14:15" x14ac:dyDescent="0.2">
      <c r="N143" s="151"/>
      <c r="O143" s="151"/>
    </row>
    <row r="144" spans="14:15" x14ac:dyDescent="0.2">
      <c r="N144" s="151"/>
      <c r="O144" s="151"/>
    </row>
    <row r="145" spans="14:15" x14ac:dyDescent="0.2">
      <c r="N145" s="151"/>
      <c r="O145" s="151"/>
    </row>
    <row r="146" spans="14:15" x14ac:dyDescent="0.2">
      <c r="N146" s="151"/>
      <c r="O146" s="151"/>
    </row>
    <row r="147" spans="14:15" x14ac:dyDescent="0.2">
      <c r="N147" s="151"/>
      <c r="O147" s="151"/>
    </row>
    <row r="148" spans="14:15" x14ac:dyDescent="0.2">
      <c r="N148" s="151"/>
      <c r="O148" s="151"/>
    </row>
    <row r="149" spans="14:15" x14ac:dyDescent="0.2">
      <c r="N149" s="151"/>
      <c r="O149" s="151"/>
    </row>
    <row r="150" spans="14:15" x14ac:dyDescent="0.2">
      <c r="N150" s="151"/>
      <c r="O150" s="151"/>
    </row>
    <row r="151" spans="14:15" x14ac:dyDescent="0.2">
      <c r="N151" s="151"/>
      <c r="O151" s="151"/>
    </row>
    <row r="152" spans="14:15" x14ac:dyDescent="0.2">
      <c r="N152" s="151"/>
      <c r="O152" s="151"/>
    </row>
    <row r="153" spans="14:15" x14ac:dyDescent="0.2">
      <c r="N153" s="151"/>
      <c r="O153" s="151"/>
    </row>
    <row r="154" spans="14:15" x14ac:dyDescent="0.2">
      <c r="N154" s="151"/>
      <c r="O154" s="151"/>
    </row>
    <row r="155" spans="14:15" x14ac:dyDescent="0.2">
      <c r="N155" s="151"/>
      <c r="O155" s="151"/>
    </row>
    <row r="156" spans="14:15" x14ac:dyDescent="0.2">
      <c r="N156" s="151"/>
      <c r="O156" s="151"/>
    </row>
    <row r="157" spans="14:15" x14ac:dyDescent="0.2">
      <c r="N157" s="151"/>
      <c r="O157" s="151"/>
    </row>
    <row r="158" spans="14:15" x14ac:dyDescent="0.2">
      <c r="N158" s="151"/>
      <c r="O158" s="151"/>
    </row>
    <row r="159" spans="14:15" x14ac:dyDescent="0.2">
      <c r="N159" s="151"/>
      <c r="O159" s="151"/>
    </row>
    <row r="160" spans="14:15" x14ac:dyDescent="0.2">
      <c r="N160" s="151"/>
      <c r="O160" s="151"/>
    </row>
    <row r="161" spans="14:15" x14ac:dyDescent="0.2">
      <c r="N161" s="151"/>
      <c r="O161" s="151"/>
    </row>
    <row r="162" spans="14:15" x14ac:dyDescent="0.2">
      <c r="N162" s="151"/>
      <c r="O162" s="151"/>
    </row>
    <row r="163" spans="14:15" x14ac:dyDescent="0.2">
      <c r="N163" s="151"/>
      <c r="O163" s="151"/>
    </row>
    <row r="164" spans="14:15" x14ac:dyDescent="0.2">
      <c r="N164" s="151"/>
      <c r="O164" s="151"/>
    </row>
    <row r="165" spans="14:15" x14ac:dyDescent="0.2">
      <c r="N165" s="151"/>
      <c r="O165" s="151"/>
    </row>
    <row r="166" spans="14:15" x14ac:dyDescent="0.2">
      <c r="N166" s="151"/>
      <c r="O166" s="151"/>
    </row>
    <row r="167" spans="14:15" x14ac:dyDescent="0.2">
      <c r="N167" s="151"/>
      <c r="O167" s="151"/>
    </row>
    <row r="168" spans="14:15" x14ac:dyDescent="0.2">
      <c r="N168" s="151"/>
      <c r="O168" s="151"/>
    </row>
    <row r="169" spans="14:15" x14ac:dyDescent="0.2">
      <c r="N169" s="151"/>
      <c r="O169" s="151"/>
    </row>
    <row r="170" spans="14:15" x14ac:dyDescent="0.2">
      <c r="N170" s="151"/>
      <c r="O170" s="151"/>
    </row>
    <row r="171" spans="14:15" x14ac:dyDescent="0.2">
      <c r="N171" s="151"/>
      <c r="O171" s="151"/>
    </row>
    <row r="172" spans="14:15" x14ac:dyDescent="0.2">
      <c r="N172" s="151"/>
      <c r="O172" s="151"/>
    </row>
    <row r="173" spans="14:15" x14ac:dyDescent="0.2">
      <c r="N173" s="151"/>
      <c r="O173" s="151"/>
    </row>
    <row r="174" spans="14:15" x14ac:dyDescent="0.2">
      <c r="N174" s="151"/>
      <c r="O174" s="151"/>
    </row>
    <row r="175" spans="14:15" x14ac:dyDescent="0.2">
      <c r="N175" s="151"/>
      <c r="O175" s="151"/>
    </row>
    <row r="176" spans="14:15" x14ac:dyDescent="0.2">
      <c r="N176" s="151"/>
      <c r="O176" s="151"/>
    </row>
    <row r="177" spans="14:15" x14ac:dyDescent="0.2">
      <c r="N177" s="151"/>
      <c r="O177" s="151"/>
    </row>
    <row r="178" spans="14:15" x14ac:dyDescent="0.2">
      <c r="N178" s="151"/>
      <c r="O178" s="151"/>
    </row>
    <row r="179" spans="14:15" x14ac:dyDescent="0.2">
      <c r="N179" s="151"/>
      <c r="O179" s="151"/>
    </row>
    <row r="180" spans="14:15" x14ac:dyDescent="0.2">
      <c r="N180" s="151"/>
      <c r="O180" s="151"/>
    </row>
    <row r="181" spans="14:15" x14ac:dyDescent="0.2">
      <c r="N181" s="151"/>
      <c r="O181" s="151"/>
    </row>
    <row r="182" spans="14:15" x14ac:dyDescent="0.2">
      <c r="N182" s="151"/>
      <c r="O182" s="151"/>
    </row>
    <row r="183" spans="14:15" x14ac:dyDescent="0.2">
      <c r="N183" s="151"/>
      <c r="O183" s="151"/>
    </row>
    <row r="184" spans="14:15" x14ac:dyDescent="0.2">
      <c r="N184" s="151"/>
      <c r="O184" s="151"/>
    </row>
    <row r="185" spans="14:15" x14ac:dyDescent="0.2">
      <c r="N185" s="151"/>
      <c r="O185" s="151"/>
    </row>
    <row r="186" spans="14:15" x14ac:dyDescent="0.2">
      <c r="N186" s="151"/>
      <c r="O186" s="151"/>
    </row>
    <row r="187" spans="14:15" x14ac:dyDescent="0.2">
      <c r="N187" s="151"/>
      <c r="O187" s="151"/>
    </row>
    <row r="188" spans="14:15" x14ac:dyDescent="0.2">
      <c r="N188" s="151"/>
      <c r="O188" s="151"/>
    </row>
  </sheetData>
  <sheetProtection password="D833" sheet="1" objects="1" scenarios="1"/>
  <protectedRanges>
    <protectedRange password="D833" sqref="I6:I22 I24:I40" name="Input Data 1"/>
  </protectedRanges>
  <mergeCells count="34">
    <mergeCell ref="V47:Y47"/>
    <mergeCell ref="AB46:AE46"/>
    <mergeCell ref="K47:N47"/>
    <mergeCell ref="Q47:T47"/>
    <mergeCell ref="R55:S55"/>
    <mergeCell ref="AC55:AD55"/>
    <mergeCell ref="L55:O55"/>
    <mergeCell ref="W55:Z55"/>
    <mergeCell ref="C28:H28"/>
    <mergeCell ref="C15:H15"/>
    <mergeCell ref="C16:H16"/>
    <mergeCell ref="C17:H17"/>
    <mergeCell ref="C25:H25"/>
    <mergeCell ref="C11:H11"/>
    <mergeCell ref="C12:H12"/>
    <mergeCell ref="C13:H13"/>
    <mergeCell ref="C9:H9"/>
    <mergeCell ref="C14:H14"/>
    <mergeCell ref="B2:F3"/>
    <mergeCell ref="C21:H21"/>
    <mergeCell ref="C22:H22"/>
    <mergeCell ref="C24:H24"/>
    <mergeCell ref="B45:C45"/>
    <mergeCell ref="B5:G5"/>
    <mergeCell ref="C26:H26"/>
    <mergeCell ref="C31:H31"/>
    <mergeCell ref="C6:H6"/>
    <mergeCell ref="C7:H7"/>
    <mergeCell ref="C44:H44"/>
    <mergeCell ref="C32:H32"/>
    <mergeCell ref="C34:H34"/>
    <mergeCell ref="C37:H37"/>
    <mergeCell ref="C8:H8"/>
    <mergeCell ref="C10:H10"/>
  </mergeCells>
  <phoneticPr fontId="5" type="noConversion"/>
  <dataValidations count="5">
    <dataValidation type="list" allowBlank="1" showInputMessage="1" showErrorMessage="1" sqref="I18">
      <formula1>$J$18:$J$19</formula1>
    </dataValidation>
    <dataValidation type="list" allowBlank="1" showInputMessage="1" showErrorMessage="1" sqref="I7">
      <formula1>$C$47:$C$71</formula1>
    </dataValidation>
    <dataValidation type="list" allowBlank="1" showInputMessage="1" showErrorMessage="1" sqref="I25">
      <formula1>$L$49:$L$53</formula1>
    </dataValidation>
    <dataValidation type="whole" operator="greaterThan" allowBlank="1" showInputMessage="1" showErrorMessage="1" sqref="I24">
      <formula1>0</formula1>
    </dataValidation>
    <dataValidation type="list" allowBlank="1" showInputMessage="1" showErrorMessage="1" sqref="I32">
      <formula1>$W$49:$W$53</formula1>
    </dataValidation>
  </dataValidations>
  <printOptions horizontalCentered="1" verticalCentered="1"/>
  <pageMargins left="0.25" right="0.25" top="0.25" bottom="0.25" header="0.25" footer="0.25"/>
  <pageSetup orientation="landscape" r:id="rId1"/>
  <headerFooter alignWithMargins="0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Q68"/>
  <sheetViews>
    <sheetView zoomScale="70" zoomScaleNormal="70" zoomScaleSheetLayoutView="85" workbookViewId="0"/>
  </sheetViews>
  <sheetFormatPr defaultColWidth="9.21875" defaultRowHeight="13.2" x14ac:dyDescent="0.25"/>
  <cols>
    <col min="1" max="1" width="9" style="1" customWidth="1"/>
    <col min="2" max="2" width="33" style="1" customWidth="1"/>
    <col min="3" max="3" width="17.44140625" style="1" customWidth="1"/>
    <col min="4" max="4" width="20.21875" style="1" customWidth="1"/>
    <col min="5" max="5" width="26.77734375" style="1" bestFit="1" customWidth="1"/>
    <col min="6" max="6" width="8.5546875" style="1" customWidth="1"/>
    <col min="7" max="7" width="13.5546875" style="1" customWidth="1"/>
    <col min="8" max="8" width="11" style="1" customWidth="1"/>
    <col min="9" max="9" width="23.21875" style="1" customWidth="1"/>
    <col min="10" max="10" width="17.5546875" style="1" bestFit="1" customWidth="1"/>
    <col min="11" max="11" width="13.33203125" style="1" customWidth="1"/>
    <col min="12" max="12" width="13.77734375" style="1" bestFit="1" customWidth="1"/>
    <col min="13" max="13" width="14.21875" style="1" customWidth="1"/>
    <col min="14" max="15" width="13.88671875" style="1" customWidth="1"/>
    <col min="16" max="27" width="0" style="1" hidden="1" customWidth="1"/>
    <col min="28" max="28" width="3.21875" style="1" customWidth="1"/>
    <col min="29" max="29" width="9.21875" style="12"/>
    <col min="30" max="30" width="21.77734375" style="12" bestFit="1" customWidth="1"/>
    <col min="31" max="31" width="18.77734375" style="12" bestFit="1" customWidth="1"/>
    <col min="32" max="43" width="9.21875" style="12"/>
    <col min="44" max="16384" width="9.21875" style="1"/>
  </cols>
  <sheetData>
    <row r="1" spans="1:30" ht="10.199999999999999" customHeight="1" x14ac:dyDescent="0.25">
      <c r="A1" s="212"/>
      <c r="B1" s="212"/>
      <c r="C1" s="212"/>
      <c r="D1" s="212"/>
      <c r="E1" s="212"/>
      <c r="F1" s="213"/>
      <c r="G1" s="213"/>
      <c r="H1" s="213"/>
      <c r="I1" s="213"/>
      <c r="J1" s="213"/>
      <c r="K1" s="213"/>
      <c r="L1" s="213"/>
      <c r="M1" s="213"/>
      <c r="N1" s="291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</row>
    <row r="2" spans="1:30" ht="31.8" customHeight="1" x14ac:dyDescent="0.25">
      <c r="A2" s="318" t="str">
        <f>'Input Sheet'!I6</f>
        <v>Customer Name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</row>
    <row r="3" spans="1:30" ht="35.4" customHeight="1" thickBot="1" x14ac:dyDescent="0.3">
      <c r="A3" s="320" t="s">
        <v>222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</row>
    <row r="4" spans="1:30" ht="30" customHeight="1" thickBot="1" x14ac:dyDescent="0.3">
      <c r="A4" s="332" t="s">
        <v>205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4"/>
    </row>
    <row r="5" spans="1:30" ht="39.450000000000003" customHeight="1" x14ac:dyDescent="0.25">
      <c r="A5" s="361" t="s">
        <v>3</v>
      </c>
      <c r="B5" s="331"/>
      <c r="C5" s="331"/>
      <c r="D5" s="331"/>
      <c r="E5" s="331"/>
      <c r="F5" s="331"/>
      <c r="G5" s="331"/>
      <c r="H5" s="323" t="str">
        <f>'Input Sheet'!J7</f>
        <v>175W MH</v>
      </c>
      <c r="I5" s="323"/>
      <c r="J5" s="298" t="s">
        <v>226</v>
      </c>
      <c r="K5" s="298"/>
      <c r="L5" s="298" t="s">
        <v>223</v>
      </c>
      <c r="M5" s="298"/>
      <c r="N5" s="298" t="s">
        <v>227</v>
      </c>
      <c r="O5" s="298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98"/>
    </row>
    <row r="6" spans="1:30" ht="17.399999999999999" x14ac:dyDescent="0.25">
      <c r="A6" s="354" t="s">
        <v>0</v>
      </c>
      <c r="B6" s="355"/>
      <c r="C6" s="355"/>
      <c r="D6" s="355"/>
      <c r="E6" s="355"/>
      <c r="F6" s="166"/>
      <c r="G6" s="166"/>
      <c r="H6" s="301">
        <f>(('Input Sheet'!K17*'Input Sheet'!K7)/1000)*'Input Sheet'!I9</f>
        <v>1817088</v>
      </c>
      <c r="I6" s="301"/>
      <c r="J6" s="299">
        <f>(('Input Sheet'!K17*'Input Sheet'!K25)/1000)*'Input Sheet'!I8</f>
        <v>510182.39999999997</v>
      </c>
      <c r="K6" s="300"/>
      <c r="L6" s="299">
        <f>'Input Sheet'!$I$8*('Input Sheet'!$K$17-SUM('Input Sheet'!$K$41:$K$43))*'Input Sheet'!$K$32/1000</f>
        <v>229582.07999999999</v>
      </c>
      <c r="M6" s="300"/>
      <c r="N6" s="299">
        <f>'Input Sheet'!$I$8*('Input Sheet'!$K$17-SUM('Input Sheet'!$K$41:$K$43))*'Input Sheet'!$K$32/1000</f>
        <v>229582.07999999999</v>
      </c>
      <c r="O6" s="300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174"/>
    </row>
    <row r="7" spans="1:30" ht="17.399999999999999" x14ac:dyDescent="0.25">
      <c r="A7" s="354" t="s">
        <v>1</v>
      </c>
      <c r="B7" s="355"/>
      <c r="C7" s="355"/>
      <c r="D7" s="355"/>
      <c r="E7" s="355"/>
      <c r="F7" s="166"/>
      <c r="G7" s="166"/>
      <c r="H7" s="301">
        <f>H6*'Input Sheet'!I16</f>
        <v>163537.91999999998</v>
      </c>
      <c r="I7" s="301"/>
      <c r="J7" s="301">
        <f>J6*'Input Sheet'!I16</f>
        <v>45916.415999999997</v>
      </c>
      <c r="K7" s="301"/>
      <c r="L7" s="306">
        <f>L6*'Input Sheet'!I16</f>
        <v>20662.387199999997</v>
      </c>
      <c r="M7" s="300"/>
      <c r="N7" s="306">
        <f>L6*'Input Sheet'!I16</f>
        <v>20662.387199999997</v>
      </c>
      <c r="O7" s="30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74"/>
      <c r="AC7" s="218"/>
    </row>
    <row r="8" spans="1:30" ht="17.399999999999999" x14ac:dyDescent="0.25">
      <c r="A8" s="321" t="s">
        <v>194</v>
      </c>
      <c r="B8" s="322"/>
      <c r="C8" s="322"/>
      <c r="D8" s="322"/>
      <c r="E8" s="322"/>
      <c r="F8" s="166"/>
      <c r="G8" s="166"/>
      <c r="H8" s="324">
        <f>H7*L15</f>
        <v>4849415.9999999991</v>
      </c>
      <c r="I8" s="324"/>
      <c r="J8" s="301">
        <f>J7*L15</f>
        <v>1361566.7999999998</v>
      </c>
      <c r="K8" s="301"/>
      <c r="L8" s="306">
        <f>L7*L15</f>
        <v>612705.05999999994</v>
      </c>
      <c r="M8" s="300"/>
      <c r="N8" s="306">
        <f>L7*L15</f>
        <v>612705.05999999994</v>
      </c>
      <c r="O8" s="300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74"/>
    </row>
    <row r="9" spans="1:30" ht="17.399999999999999" x14ac:dyDescent="0.25">
      <c r="A9" s="321" t="s">
        <v>116</v>
      </c>
      <c r="B9" s="322"/>
      <c r="C9" s="322"/>
      <c r="D9" s="322"/>
      <c r="E9" s="322"/>
      <c r="F9" s="166"/>
      <c r="G9" s="166"/>
      <c r="H9" s="202"/>
      <c r="I9" s="202"/>
      <c r="J9" s="301">
        <f>IF('Input Sheet'!I18="NO",0,(H6-J6)*('Input Sheet'!I19/52*'Input Sheet'!I20)/'Input Sheet'!I23)</f>
        <v>0</v>
      </c>
      <c r="K9" s="301"/>
      <c r="L9" s="306">
        <f>IF('Input Sheet'!$I$18="NO",0,($H$6-$J$6)*('Input Sheet'!$I$19/52*'Input Sheet'!$I$20)/'Input Sheet'!$I$23)</f>
        <v>0</v>
      </c>
      <c r="M9" s="300"/>
      <c r="N9" s="306">
        <f>IF('Input Sheet'!$I$18="NO",0,($H$6-$J$6)*('Input Sheet'!$I$19/52*'Input Sheet'!$I$20)/'Input Sheet'!$I$23)</f>
        <v>0</v>
      </c>
      <c r="O9" s="30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74"/>
    </row>
    <row r="10" spans="1:30" ht="17.399999999999999" x14ac:dyDescent="0.25">
      <c r="A10" s="321" t="s">
        <v>117</v>
      </c>
      <c r="B10" s="322"/>
      <c r="C10" s="322"/>
      <c r="D10" s="322"/>
      <c r="E10" s="322"/>
      <c r="F10" s="166"/>
      <c r="G10" s="166"/>
      <c r="H10" s="202"/>
      <c r="I10" s="202"/>
      <c r="J10" s="301">
        <f>J9*'Input Sheet'!I16</f>
        <v>0</v>
      </c>
      <c r="K10" s="301"/>
      <c r="L10" s="306">
        <f>$L$9*'Input Sheet'!$I$16</f>
        <v>0</v>
      </c>
      <c r="M10" s="300"/>
      <c r="N10" s="306">
        <f>$L$9*'Input Sheet'!$I$16</f>
        <v>0</v>
      </c>
      <c r="O10" s="300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174"/>
    </row>
    <row r="11" spans="1:30" ht="17.25" customHeight="1" x14ac:dyDescent="0.25">
      <c r="A11" s="327" t="s">
        <v>2</v>
      </c>
      <c r="B11" s="328"/>
      <c r="C11" s="328"/>
      <c r="D11" s="328"/>
      <c r="E11" s="328"/>
      <c r="F11" s="166"/>
      <c r="G11" s="166"/>
      <c r="H11" s="166"/>
      <c r="I11" s="166"/>
      <c r="J11" s="302">
        <f>(H7-J7)+J10</f>
        <v>117621.50399999999</v>
      </c>
      <c r="K11" s="302"/>
      <c r="L11" s="307">
        <f>(H7-L7)+L10</f>
        <v>142875.53279999999</v>
      </c>
      <c r="M11" s="308"/>
      <c r="N11" s="307">
        <f>(J7-N7)+N10</f>
        <v>25254.0288</v>
      </c>
      <c r="O11" s="308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174"/>
    </row>
    <row r="12" spans="1:30" ht="15.75" customHeight="1" x14ac:dyDescent="0.25">
      <c r="A12" s="191" t="s">
        <v>26</v>
      </c>
      <c r="B12" s="165"/>
      <c r="C12" s="165"/>
      <c r="D12" s="165"/>
      <c r="E12" s="165"/>
      <c r="F12" s="166"/>
      <c r="G12" s="166"/>
      <c r="H12" s="166"/>
      <c r="I12" s="166"/>
      <c r="J12" s="303">
        <f>J11*L15</f>
        <v>3487849.1999999993</v>
      </c>
      <c r="K12" s="303"/>
      <c r="L12" s="304">
        <f>L11*L15</f>
        <v>4236710.9399999995</v>
      </c>
      <c r="M12" s="305"/>
      <c r="N12" s="304">
        <f>N11*N15</f>
        <v>748861.74</v>
      </c>
      <c r="O12" s="305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174"/>
      <c r="AD12" s="251"/>
    </row>
    <row r="13" spans="1:30" ht="6" customHeight="1" x14ac:dyDescent="0.25">
      <c r="A13" s="175"/>
      <c r="B13" s="164"/>
      <c r="C13" s="164"/>
      <c r="D13" s="164"/>
      <c r="E13" s="164"/>
      <c r="F13" s="166"/>
      <c r="G13" s="166"/>
      <c r="H13" s="164"/>
      <c r="I13" s="164"/>
      <c r="J13" s="224"/>
      <c r="K13" s="249"/>
      <c r="L13" s="224"/>
      <c r="M13" s="249"/>
      <c r="N13" s="224"/>
      <c r="O13" s="24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174"/>
    </row>
    <row r="14" spans="1:30" ht="36" customHeight="1" x14ac:dyDescent="0.25">
      <c r="A14" s="352" t="s">
        <v>202</v>
      </c>
      <c r="B14" s="353"/>
      <c r="C14" s="353"/>
      <c r="D14" s="353"/>
      <c r="E14" s="353"/>
      <c r="F14" s="353"/>
      <c r="G14" s="353"/>
      <c r="H14" s="298" t="str">
        <f>H5</f>
        <v>175W MH</v>
      </c>
      <c r="I14" s="298"/>
      <c r="J14" s="298" t="s">
        <v>226</v>
      </c>
      <c r="K14" s="298"/>
      <c r="L14" s="298" t="s">
        <v>223</v>
      </c>
      <c r="M14" s="298"/>
      <c r="N14" s="298" t="s">
        <v>227</v>
      </c>
      <c r="O14" s="298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174"/>
    </row>
    <row r="15" spans="1:30" ht="18" customHeight="1" x14ac:dyDescent="0.25">
      <c r="A15" s="357" t="s">
        <v>31</v>
      </c>
      <c r="B15" s="358"/>
      <c r="C15" s="358"/>
      <c r="D15" s="358"/>
      <c r="E15" s="358"/>
      <c r="F15" s="166"/>
      <c r="G15" s="166"/>
      <c r="H15" s="359">
        <f>('Input Sheet'!L7*0.55)/'Input Sheet'!K17</f>
        <v>0.94436813186813184</v>
      </c>
      <c r="I15" s="360"/>
      <c r="J15" s="335">
        <f>IF('Controls Input Sheet'!B3="Indoor",'Input Sheet'!L25/'Input Sheet'!K17,'Input Sheet'!M25/'Input Sheet'!K17)</f>
        <v>19.768772893772894</v>
      </c>
      <c r="K15" s="335"/>
      <c r="L15" s="309">
        <f>IF('Controls Input Sheet'!$B$3="Indoor",'Input Sheet'!$L$32/'Input Sheet'!$K$17,'Input Sheet'!$M$32/'Input Sheet'!$K$17)</f>
        <v>29.653159340659339</v>
      </c>
      <c r="M15" s="310"/>
      <c r="N15" s="309">
        <f>IF('Controls Input Sheet'!$B$3="Indoor",'Input Sheet'!$L$32/'Input Sheet'!$K$17,'Input Sheet'!$M$32/'Input Sheet'!$K$17)</f>
        <v>29.653159340659339</v>
      </c>
      <c r="O15" s="310"/>
      <c r="P15" s="23"/>
      <c r="Q15" s="23"/>
      <c r="R15" s="23"/>
      <c r="S15" s="23">
        <f>L15/J15</f>
        <v>1.5</v>
      </c>
      <c r="T15" s="23"/>
      <c r="U15" s="23"/>
      <c r="V15" s="23"/>
      <c r="W15" s="23"/>
      <c r="X15" s="23"/>
      <c r="Y15" s="23"/>
      <c r="Z15" s="23"/>
      <c r="AA15" s="23"/>
      <c r="AB15" s="174"/>
      <c r="AD15" s="225"/>
    </row>
    <row r="16" spans="1:30" ht="17.399999999999999" x14ac:dyDescent="0.25">
      <c r="A16" s="354" t="s">
        <v>22</v>
      </c>
      <c r="B16" s="355"/>
      <c r="C16" s="355"/>
      <c r="D16" s="355"/>
      <c r="E16" s="355"/>
      <c r="F16" s="166"/>
      <c r="G16" s="166"/>
      <c r="H16" s="356">
        <f>(('Input Sheet'!I11+'Input Sheet'!I12)*'Input Sheet'!I9)/$H$15</f>
        <v>28590.545454545456</v>
      </c>
      <c r="I16" s="293"/>
      <c r="J16" s="336">
        <v>0</v>
      </c>
      <c r="K16" s="336"/>
      <c r="L16" s="311">
        <v>0</v>
      </c>
      <c r="M16" s="296"/>
      <c r="N16" s="311">
        <v>0</v>
      </c>
      <c r="O16" s="29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74"/>
      <c r="AD16" s="225"/>
    </row>
    <row r="17" spans="1:31" ht="17.399999999999999" x14ac:dyDescent="0.25">
      <c r="A17" s="175" t="s">
        <v>82</v>
      </c>
      <c r="B17" s="164"/>
      <c r="C17" s="164"/>
      <c r="D17" s="164"/>
      <c r="E17" s="164"/>
      <c r="F17" s="166"/>
      <c r="G17" s="166"/>
      <c r="H17" s="356">
        <f>'Input Sheet'!I28/$H$15</f>
        <v>0</v>
      </c>
      <c r="I17" s="293"/>
      <c r="J17" s="337">
        <v>0</v>
      </c>
      <c r="K17" s="337"/>
      <c r="L17" s="343">
        <v>0</v>
      </c>
      <c r="M17" s="344"/>
      <c r="N17" s="343">
        <v>0</v>
      </c>
      <c r="O17" s="344"/>
      <c r="P17" s="23"/>
      <c r="Q17" s="23"/>
      <c r="R17" s="23"/>
      <c r="S17" s="23" t="s">
        <v>136</v>
      </c>
      <c r="T17" s="23">
        <v>100</v>
      </c>
      <c r="U17" s="23">
        <v>100</v>
      </c>
      <c r="V17" s="23"/>
      <c r="W17" s="23"/>
      <c r="X17" s="23"/>
      <c r="Y17" s="23"/>
      <c r="Z17" s="23"/>
      <c r="AA17" s="23"/>
      <c r="AB17" s="174"/>
      <c r="AD17" s="225"/>
    </row>
    <row r="18" spans="1:31" ht="17.399999999999999" x14ac:dyDescent="0.25">
      <c r="A18" s="354" t="s">
        <v>81</v>
      </c>
      <c r="B18" s="355"/>
      <c r="C18" s="355"/>
      <c r="D18" s="355"/>
      <c r="E18" s="355"/>
      <c r="F18" s="166"/>
      <c r="G18" s="166"/>
      <c r="H18" s="356">
        <f>('Input Sheet'!I9*'Input Sheet'!I13*'Input Sheet'!I14*'Input Sheet'!I15)/$H$15</f>
        <v>169425.45454545456</v>
      </c>
      <c r="I18" s="293"/>
      <c r="J18" s="336">
        <v>0</v>
      </c>
      <c r="K18" s="336"/>
      <c r="L18" s="311">
        <v>0</v>
      </c>
      <c r="M18" s="296"/>
      <c r="N18" s="311">
        <v>0</v>
      </c>
      <c r="O18" s="296"/>
      <c r="P18" s="23"/>
      <c r="Q18" s="23"/>
      <c r="R18" s="23"/>
      <c r="S18" s="23" t="s">
        <v>137</v>
      </c>
      <c r="T18" s="23">
        <v>8736</v>
      </c>
      <c r="U18" s="23">
        <v>8736</v>
      </c>
      <c r="V18" s="23"/>
      <c r="W18" s="23"/>
      <c r="X18" s="23"/>
      <c r="Y18" s="23"/>
      <c r="Z18" s="23"/>
      <c r="AA18" s="23"/>
      <c r="AB18" s="174"/>
      <c r="AD18" s="225"/>
    </row>
    <row r="19" spans="1:31" ht="17.399999999999999" x14ac:dyDescent="0.25">
      <c r="A19" s="210" t="s">
        <v>203</v>
      </c>
      <c r="B19" s="211"/>
      <c r="C19" s="211"/>
      <c r="D19" s="211"/>
      <c r="E19" s="211"/>
      <c r="F19" s="166"/>
      <c r="G19" s="166"/>
      <c r="H19" s="214"/>
      <c r="I19" s="214"/>
      <c r="J19" s="293">
        <f>-($D$30+'Input Sheet'!$I$27)</f>
        <v>-889400</v>
      </c>
      <c r="K19" s="294"/>
      <c r="L19" s="295">
        <v>0</v>
      </c>
      <c r="M19" s="296"/>
      <c r="N19" s="293">
        <f>$D$30+'Input Sheet'!$I$27</f>
        <v>889400</v>
      </c>
      <c r="O19" s="29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174"/>
      <c r="AD19" s="225"/>
    </row>
    <row r="20" spans="1:31" ht="17.399999999999999" x14ac:dyDescent="0.25">
      <c r="A20" s="327" t="s">
        <v>83</v>
      </c>
      <c r="B20" s="328"/>
      <c r="C20" s="328"/>
      <c r="D20" s="328"/>
      <c r="E20" s="328"/>
      <c r="F20" s="166"/>
      <c r="G20" s="166"/>
      <c r="H20" s="24"/>
      <c r="I20" s="164"/>
      <c r="J20" s="338">
        <f>(H16+H18+H17)-(J16+J18+J17)</f>
        <v>198016</v>
      </c>
      <c r="K20" s="338"/>
      <c r="L20" s="312">
        <f>(H16+H18+H17)-(L16+L18+L17)</f>
        <v>198016</v>
      </c>
      <c r="M20" s="313"/>
      <c r="N20" s="312">
        <v>0</v>
      </c>
      <c r="O20" s="313"/>
      <c r="P20" s="23"/>
      <c r="Q20" s="23"/>
      <c r="R20" s="23"/>
      <c r="S20" s="23" t="s">
        <v>138</v>
      </c>
      <c r="T20" s="23">
        <v>29</v>
      </c>
      <c r="U20" s="23">
        <v>26.4</v>
      </c>
      <c r="V20" s="23" t="s">
        <v>140</v>
      </c>
      <c r="W20" s="23"/>
      <c r="X20" s="23"/>
      <c r="Y20" s="23"/>
      <c r="Z20" s="23"/>
      <c r="AA20" s="23"/>
      <c r="AB20" s="174"/>
      <c r="AD20" s="225"/>
    </row>
    <row r="21" spans="1:31" ht="17.399999999999999" x14ac:dyDescent="0.25">
      <c r="A21" s="327" t="s">
        <v>204</v>
      </c>
      <c r="B21" s="328"/>
      <c r="C21" s="328"/>
      <c r="D21" s="328"/>
      <c r="E21" s="328"/>
      <c r="F21" s="166"/>
      <c r="G21" s="166"/>
      <c r="H21" s="164"/>
      <c r="I21" s="164"/>
      <c r="J21" s="303">
        <f>J20*L15+J19</f>
        <v>4982400</v>
      </c>
      <c r="K21" s="303"/>
      <c r="L21" s="304">
        <f>L20*L15+L19</f>
        <v>5871800</v>
      </c>
      <c r="M21" s="305"/>
      <c r="N21" s="304">
        <f>N20*N15+N19</f>
        <v>889400</v>
      </c>
      <c r="O21" s="305"/>
      <c r="P21" s="23"/>
      <c r="Q21" s="23"/>
      <c r="R21" s="23"/>
      <c r="S21" s="23" t="s">
        <v>139</v>
      </c>
      <c r="T21" s="23">
        <f>T17*T18*T20/1000</f>
        <v>25334.400000000001</v>
      </c>
      <c r="U21" s="23">
        <f>U17*U20*(U18-V21)/1000</f>
        <v>10956</v>
      </c>
      <c r="V21" s="23">
        <v>4586</v>
      </c>
      <c r="W21" s="23"/>
      <c r="X21" s="23"/>
      <c r="Y21" s="23"/>
      <c r="Z21" s="23"/>
      <c r="AA21" s="23"/>
      <c r="AB21" s="174"/>
      <c r="AD21" s="252"/>
    </row>
    <row r="22" spans="1:31" ht="8.25" customHeight="1" thickBot="1" x14ac:dyDescent="0.3">
      <c r="A22" s="203"/>
      <c r="B22" s="204"/>
      <c r="C22" s="196"/>
      <c r="D22" s="196"/>
      <c r="E22" s="196"/>
      <c r="F22" s="207"/>
      <c r="G22" s="207"/>
      <c r="H22" s="196"/>
      <c r="I22" s="196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  <c r="AD22" s="225"/>
    </row>
    <row r="23" spans="1:31" ht="19.5" customHeight="1" thickBot="1" x14ac:dyDescent="0.3">
      <c r="A23" s="15"/>
      <c r="B23" s="15"/>
      <c r="C23" s="15"/>
      <c r="D23" s="15"/>
      <c r="E23" s="15"/>
      <c r="F23" s="2"/>
      <c r="G23" s="2"/>
      <c r="H23" s="16"/>
      <c r="I23" s="16"/>
      <c r="AD23" s="225"/>
    </row>
    <row r="24" spans="1:31" ht="30" customHeight="1" thickBot="1" x14ac:dyDescent="0.3">
      <c r="A24" s="332" t="s">
        <v>36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4"/>
      <c r="AD24" s="225"/>
    </row>
    <row r="25" spans="1:31" ht="6" customHeight="1" x14ac:dyDescent="0.25">
      <c r="A25" s="329"/>
      <c r="B25" s="330"/>
      <c r="C25" s="330"/>
      <c r="D25" s="330"/>
      <c r="E25" s="330"/>
      <c r="F25" s="330"/>
      <c r="G25" s="330"/>
      <c r="H25" s="330"/>
      <c r="I25" s="330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2"/>
      <c r="AD25" s="225"/>
    </row>
    <row r="26" spans="1:31" ht="36" customHeight="1" x14ac:dyDescent="0.25">
      <c r="A26" s="173"/>
      <c r="B26" s="164"/>
      <c r="C26" s="169" t="str">
        <f>H5</f>
        <v>175W MH</v>
      </c>
      <c r="D26" s="169" t="s">
        <v>37</v>
      </c>
      <c r="E26" s="250" t="s">
        <v>230</v>
      </c>
      <c r="F26" s="17"/>
      <c r="G26" s="12"/>
      <c r="H26" s="12"/>
      <c r="I26" s="12"/>
      <c r="J26" s="345" t="s">
        <v>228</v>
      </c>
      <c r="K26" s="345"/>
      <c r="L26" s="339" t="s">
        <v>224</v>
      </c>
      <c r="M26" s="340"/>
      <c r="N26" s="339" t="s">
        <v>225</v>
      </c>
      <c r="O26" s="340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74"/>
      <c r="AD26" s="225"/>
    </row>
    <row r="27" spans="1:31" ht="17.399999999999999" x14ac:dyDescent="0.25">
      <c r="A27" s="175"/>
      <c r="B27" s="18" t="s">
        <v>44</v>
      </c>
      <c r="C27" s="13">
        <f>'Input Sheet'!I9*'Input Sheet'!I10</f>
        <v>300000</v>
      </c>
      <c r="D27" s="13">
        <f>'Input Sheet'!I26*'Input Sheet'!I8</f>
        <v>704400</v>
      </c>
      <c r="E27" s="13">
        <f>('Input Sheet'!I33*'Input Sheet'!I34)+('Input Sheet'!I35*'Input Sheet'!I36)+'Input Sheet'!I37+'Input Sheet'!I38+'Input Sheet'!I39+'Input Sheet'!I40</f>
        <v>1074116</v>
      </c>
      <c r="F27" s="12"/>
      <c r="G27" s="12"/>
      <c r="H27" s="12"/>
      <c r="I27" s="8" t="s">
        <v>39</v>
      </c>
      <c r="J27" s="326">
        <f>J12</f>
        <v>3487849.1999999993</v>
      </c>
      <c r="K27" s="326"/>
      <c r="L27" s="326">
        <f t="shared" ref="L27" si="0">L12</f>
        <v>4236710.9399999995</v>
      </c>
      <c r="M27" s="326"/>
      <c r="N27" s="326">
        <f t="shared" ref="N27" si="1">N12</f>
        <v>748861.74</v>
      </c>
      <c r="O27" s="326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74"/>
      <c r="AD27" s="225"/>
    </row>
    <row r="28" spans="1:31" ht="17.399999999999999" x14ac:dyDescent="0.25">
      <c r="A28" s="175"/>
      <c r="B28" s="18" t="s">
        <v>127</v>
      </c>
      <c r="C28" s="13">
        <v>0</v>
      </c>
      <c r="D28" s="170">
        <f>(-'Input Sheet'!I30)</f>
        <v>-7500</v>
      </c>
      <c r="E28" s="170">
        <f>(-'Input Sheet'!I30)</f>
        <v>-7500</v>
      </c>
      <c r="F28" s="12"/>
      <c r="G28" s="12"/>
      <c r="H28" s="12"/>
      <c r="I28" s="8" t="s">
        <v>201</v>
      </c>
      <c r="J28" s="326">
        <f>J21</f>
        <v>4982400</v>
      </c>
      <c r="K28" s="326"/>
      <c r="L28" s="341">
        <f>L21</f>
        <v>5871800</v>
      </c>
      <c r="M28" s="342"/>
      <c r="N28" s="341">
        <f>N21</f>
        <v>889400</v>
      </c>
      <c r="O28" s="34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174"/>
      <c r="AD28" s="225"/>
    </row>
    <row r="29" spans="1:31" ht="24.6" x14ac:dyDescent="0.25">
      <c r="A29" s="175"/>
      <c r="B29" s="18" t="s">
        <v>45</v>
      </c>
      <c r="C29" s="13">
        <v>0</v>
      </c>
      <c r="D29" s="170">
        <f>(-'Input Sheet'!I31)</f>
        <v>-7500</v>
      </c>
      <c r="E29" s="170">
        <f>(-'Input Sheet'!I31)</f>
        <v>-7500</v>
      </c>
      <c r="F29" s="12"/>
      <c r="G29" s="12"/>
      <c r="H29" s="12"/>
      <c r="I29" s="9" t="s">
        <v>40</v>
      </c>
      <c r="J29" s="297">
        <f>SUM(J27:K28)</f>
        <v>8470249.1999999993</v>
      </c>
      <c r="K29" s="297"/>
      <c r="L29" s="297">
        <f>SUM(L27:M28)</f>
        <v>10108510.939999999</v>
      </c>
      <c r="M29" s="297"/>
      <c r="N29" s="297">
        <f>SUM(N27:O28)</f>
        <v>1638261.74</v>
      </c>
      <c r="O29" s="29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174"/>
      <c r="AD29" s="252"/>
      <c r="AE29" s="216"/>
    </row>
    <row r="30" spans="1:31" ht="24.6" x14ac:dyDescent="0.25">
      <c r="A30" s="175"/>
      <c r="B30" s="18" t="s">
        <v>46</v>
      </c>
      <c r="C30" s="13">
        <f>SUM(C27:C29)</f>
        <v>300000</v>
      </c>
      <c r="D30" s="170">
        <f>SUM(D27:D29)</f>
        <v>689400</v>
      </c>
      <c r="E30" s="170">
        <f>SUM(E27:E29)</f>
        <v>1059116</v>
      </c>
      <c r="F30" s="12"/>
      <c r="G30" s="12"/>
      <c r="H30" s="12"/>
      <c r="I30" s="27" t="s">
        <v>38</v>
      </c>
      <c r="J30" s="325">
        <f>-D27+C27</f>
        <v>-404400</v>
      </c>
      <c r="K30" s="325"/>
      <c r="L30" s="314">
        <f>-E27+C27</f>
        <v>-774116</v>
      </c>
      <c r="M30" s="315"/>
      <c r="N30" s="314">
        <f>-E27+D27</f>
        <v>-369716</v>
      </c>
      <c r="O30" s="315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174"/>
      <c r="AD30" s="252"/>
      <c r="AE30" s="215"/>
    </row>
    <row r="31" spans="1:31" ht="17.399999999999999" x14ac:dyDescent="0.25">
      <c r="A31" s="175"/>
      <c r="B31" s="18" t="s">
        <v>118</v>
      </c>
      <c r="C31" s="13">
        <f>H8</f>
        <v>4849415.9999999991</v>
      </c>
      <c r="D31" s="13">
        <f>J8</f>
        <v>1361566.7999999998</v>
      </c>
      <c r="E31" s="13">
        <f>L8</f>
        <v>612705.05999999994</v>
      </c>
      <c r="F31" s="12"/>
      <c r="G31" s="12"/>
      <c r="H31" s="12"/>
      <c r="I31" s="27" t="s">
        <v>120</v>
      </c>
      <c r="J31" s="348">
        <f>'Input Sheet'!I30</f>
        <v>7500</v>
      </c>
      <c r="K31" s="348"/>
      <c r="L31" s="316">
        <f>'Input Sheet'!I30</f>
        <v>7500</v>
      </c>
      <c r="M31" s="317"/>
      <c r="N31" s="316">
        <v>0</v>
      </c>
      <c r="O31" s="317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174"/>
      <c r="AD31" s="225"/>
    </row>
    <row r="32" spans="1:31" ht="17.399999999999999" x14ac:dyDescent="0.25">
      <c r="A32" s="175"/>
      <c r="B32" s="18" t="s">
        <v>119</v>
      </c>
      <c r="C32" s="13">
        <f>J10*J15</f>
        <v>0</v>
      </c>
      <c r="D32" s="13">
        <v>0</v>
      </c>
      <c r="E32" s="13">
        <v>0</v>
      </c>
      <c r="F32" s="12"/>
      <c r="G32" s="12"/>
      <c r="H32" s="12"/>
      <c r="I32" s="27" t="s">
        <v>43</v>
      </c>
      <c r="J32" s="348">
        <f>'Input Sheet'!I31</f>
        <v>7500</v>
      </c>
      <c r="K32" s="348"/>
      <c r="L32" s="316">
        <f>'Input Sheet'!I31</f>
        <v>7500</v>
      </c>
      <c r="M32" s="317"/>
      <c r="N32" s="316">
        <v>0</v>
      </c>
      <c r="O32" s="317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174"/>
      <c r="AD32" s="225"/>
    </row>
    <row r="33" spans="1:43" ht="17.399999999999999" x14ac:dyDescent="0.25">
      <c r="A33" s="175"/>
      <c r="B33" s="18" t="s">
        <v>80</v>
      </c>
      <c r="C33" s="13">
        <f>J21</f>
        <v>4982400</v>
      </c>
      <c r="D33" s="13">
        <v>0</v>
      </c>
      <c r="E33" s="13">
        <v>0</v>
      </c>
      <c r="F33" s="12"/>
      <c r="G33" s="12"/>
      <c r="H33" s="12"/>
      <c r="I33" s="9" t="s">
        <v>41</v>
      </c>
      <c r="J33" s="297">
        <f>SUM(J29:K32)</f>
        <v>8080849.1999999993</v>
      </c>
      <c r="K33" s="297"/>
      <c r="L33" s="297">
        <f>SUM(L29:M32)</f>
        <v>9349394.9399999995</v>
      </c>
      <c r="M33" s="297"/>
      <c r="N33" s="297">
        <f>SUM(N29:O32)</f>
        <v>1268545.74</v>
      </c>
      <c r="O33" s="297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174"/>
      <c r="AC33" s="217"/>
      <c r="AD33" s="252"/>
    </row>
    <row r="34" spans="1:43" ht="17.399999999999999" x14ac:dyDescent="0.25">
      <c r="A34" s="175"/>
      <c r="B34" s="9" t="s">
        <v>32</v>
      </c>
      <c r="C34" s="253">
        <f>SUM(C30:C33)</f>
        <v>10131816</v>
      </c>
      <c r="D34" s="253">
        <f>SUM(D30:D33)</f>
        <v>2050966.7999999998</v>
      </c>
      <c r="E34" s="253">
        <f>SUM(E30:E33)</f>
        <v>1671821.06</v>
      </c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74"/>
      <c r="AD34" s="225"/>
    </row>
    <row r="35" spans="1:43" ht="17.25" customHeight="1" x14ac:dyDescent="0.25">
      <c r="A35" s="175"/>
      <c r="B35" s="9"/>
      <c r="C35" s="13"/>
      <c r="D35" s="13"/>
      <c r="E35" s="26"/>
      <c r="F35" s="9"/>
      <c r="G35" s="14"/>
      <c r="H35" s="1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74"/>
    </row>
    <row r="36" spans="1:43" ht="17.399999999999999" x14ac:dyDescent="0.25">
      <c r="A36" s="175"/>
      <c r="B36" s="351" t="s">
        <v>79</v>
      </c>
      <c r="C36" s="351"/>
      <c r="D36" s="351"/>
      <c r="E36" s="351"/>
      <c r="F36" s="351"/>
      <c r="G36" s="201">
        <f>(D30-C30)/(J29/L15)</f>
        <v>1.3632350093374759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74"/>
    </row>
    <row r="37" spans="1:43" ht="17.399999999999999" x14ac:dyDescent="0.25">
      <c r="A37" s="176"/>
      <c r="B37" s="351" t="s">
        <v>48</v>
      </c>
      <c r="C37" s="351"/>
      <c r="D37" s="351"/>
      <c r="E37" s="351"/>
      <c r="F37" s="351"/>
      <c r="G37" s="201">
        <f>D30/(J29/L15)</f>
        <v>2.4134931058994757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74"/>
    </row>
    <row r="38" spans="1:43" ht="17.399999999999999" x14ac:dyDescent="0.25">
      <c r="A38" s="176"/>
      <c r="B38" s="351" t="s">
        <v>232</v>
      </c>
      <c r="C38" s="351"/>
      <c r="D38" s="351"/>
      <c r="E38" s="351"/>
      <c r="F38" s="351"/>
      <c r="G38" s="201">
        <f>(E30-C30)/(L29/L15)</f>
        <v>2.2268549581293677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74"/>
    </row>
    <row r="39" spans="1:43" ht="17.399999999999999" x14ac:dyDescent="0.25">
      <c r="A39" s="176"/>
      <c r="B39" s="351" t="s">
        <v>231</v>
      </c>
      <c r="C39" s="351"/>
      <c r="D39" s="351"/>
      <c r="E39" s="351"/>
      <c r="F39" s="351"/>
      <c r="G39" s="201">
        <f>(E30-D30)/(N29/N15)</f>
        <v>6.6919999357313982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74"/>
    </row>
    <row r="40" spans="1:43" ht="21" customHeight="1" x14ac:dyDescent="0.25">
      <c r="A40" s="175"/>
      <c r="B40" s="6"/>
      <c r="C40" s="19"/>
      <c r="D40" s="19"/>
      <c r="E40" s="26"/>
      <c r="F40" s="28"/>
      <c r="G40" s="20"/>
      <c r="H40" s="2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74"/>
    </row>
    <row r="41" spans="1:43" ht="17.399999999999999" x14ac:dyDescent="0.25">
      <c r="A41" s="175"/>
      <c r="B41" s="164"/>
      <c r="C41" s="164"/>
      <c r="D41" s="22"/>
      <c r="E41" s="22"/>
      <c r="F41" s="22"/>
      <c r="G41" s="22"/>
      <c r="H41" s="2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74"/>
    </row>
    <row r="42" spans="1:43" ht="17.399999999999999" x14ac:dyDescent="0.25">
      <c r="A42" s="175"/>
      <c r="B42" s="164"/>
      <c r="C42" s="164"/>
      <c r="D42" s="164"/>
      <c r="E42" s="164"/>
      <c r="F42" s="17"/>
      <c r="G42" s="17"/>
      <c r="H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74"/>
    </row>
    <row r="43" spans="1:43" ht="17.399999999999999" x14ac:dyDescent="0.25">
      <c r="A43" s="175"/>
      <c r="B43" s="164"/>
      <c r="C43" s="164"/>
      <c r="D43" s="164"/>
      <c r="E43" s="164"/>
      <c r="F43" s="17"/>
      <c r="G43" s="17"/>
      <c r="H43" s="1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74"/>
    </row>
    <row r="44" spans="1:43" ht="12.75" customHeight="1" x14ac:dyDescent="0.25">
      <c r="A44" s="175"/>
      <c r="B44" s="164"/>
      <c r="C44" s="164"/>
      <c r="D44" s="164"/>
      <c r="E44" s="164"/>
      <c r="F44" s="17"/>
      <c r="G44" s="17"/>
      <c r="H44" s="19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74"/>
    </row>
    <row r="45" spans="1:43" ht="17.399999999999999" x14ac:dyDescent="0.25">
      <c r="A45" s="175"/>
      <c r="B45" s="164"/>
      <c r="C45" s="164"/>
      <c r="D45" s="164"/>
      <c r="E45" s="164"/>
      <c r="F45" s="17"/>
      <c r="G45" s="17"/>
      <c r="H45" s="19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74"/>
    </row>
    <row r="46" spans="1:43" ht="17.399999999999999" x14ac:dyDescent="0.25">
      <c r="A46" s="175"/>
      <c r="B46" s="164"/>
      <c r="C46" s="164"/>
      <c r="D46" s="164"/>
      <c r="E46" s="164"/>
      <c r="F46" s="17"/>
      <c r="G46" s="17"/>
      <c r="H46" s="19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74"/>
    </row>
    <row r="47" spans="1:43" ht="17.399999999999999" x14ac:dyDescent="0.25">
      <c r="A47" s="175"/>
      <c r="B47" s="164"/>
      <c r="C47" s="164"/>
      <c r="D47" s="164"/>
      <c r="E47" s="164"/>
      <c r="F47" s="17"/>
      <c r="G47" s="17"/>
      <c r="H47" s="1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74"/>
    </row>
    <row r="48" spans="1:43" s="23" customFormat="1" ht="22.05" customHeight="1" thickBot="1" x14ac:dyDescent="0.3">
      <c r="A48" s="177"/>
      <c r="B48" s="178"/>
      <c r="C48" s="179"/>
      <c r="D48" s="180"/>
      <c r="E48" s="180"/>
      <c r="F48" s="180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81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23" customFormat="1" ht="12.75" customHeight="1" thickBot="1" x14ac:dyDescent="0.3">
      <c r="A49" s="12"/>
      <c r="B49" s="12"/>
      <c r="C49" s="2"/>
      <c r="D49" s="25"/>
      <c r="E49" s="25"/>
      <c r="F49" s="25"/>
      <c r="G49" s="12"/>
      <c r="H49" s="12"/>
      <c r="I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30" customHeight="1" thickBot="1" x14ac:dyDescent="0.3">
      <c r="A50" s="332" t="s">
        <v>156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4"/>
    </row>
    <row r="51" spans="1:43" ht="6.75" customHeight="1" x14ac:dyDescent="0.25">
      <c r="A51" s="185"/>
      <c r="B51" s="186"/>
      <c r="C51" s="186"/>
      <c r="D51" s="186"/>
      <c r="E51" s="187"/>
      <c r="F51" s="187"/>
      <c r="G51" s="188"/>
      <c r="H51" s="189"/>
      <c r="I51" s="190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2"/>
    </row>
    <row r="52" spans="1:43" ht="16.5" customHeight="1" x14ac:dyDescent="0.25">
      <c r="A52" s="346" t="s">
        <v>7</v>
      </c>
      <c r="B52" s="347"/>
      <c r="C52" s="182">
        <f>J12*1.54</f>
        <v>5371287.7679999992</v>
      </c>
      <c r="D52" s="164"/>
      <c r="E52" s="164"/>
      <c r="F52" s="164"/>
      <c r="G52" s="164"/>
      <c r="H52" s="164"/>
      <c r="I52" s="164"/>
      <c r="J52" s="12"/>
      <c r="K52" s="347" t="s">
        <v>5</v>
      </c>
      <c r="L52" s="347"/>
      <c r="M52" s="347"/>
      <c r="N52" s="12"/>
      <c r="O52" s="5">
        <f>C52/11470</f>
        <v>468.29012798605049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74"/>
    </row>
    <row r="53" spans="1:43" ht="16.5" customHeight="1" x14ac:dyDescent="0.25">
      <c r="A53" s="346" t="s">
        <v>8</v>
      </c>
      <c r="B53" s="347"/>
      <c r="C53" s="182">
        <f>C52/2000</f>
        <v>2685.6438839999996</v>
      </c>
      <c r="D53" s="164"/>
      <c r="E53" s="164"/>
      <c r="F53" s="164"/>
      <c r="G53" s="164"/>
      <c r="H53" s="164"/>
      <c r="I53" s="164"/>
      <c r="J53" s="12"/>
      <c r="K53" s="163"/>
      <c r="L53" s="163"/>
      <c r="M53" s="163"/>
      <c r="N53" s="12"/>
      <c r="O53" s="5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74"/>
    </row>
    <row r="54" spans="1:43" ht="17.25" customHeight="1" x14ac:dyDescent="0.25">
      <c r="A54" s="191"/>
      <c r="B54" s="165"/>
      <c r="C54" s="10"/>
      <c r="D54" s="164"/>
      <c r="E54" s="164"/>
      <c r="F54" s="164"/>
      <c r="G54" s="164"/>
      <c r="H54" s="164"/>
      <c r="I54" s="164"/>
      <c r="J54" s="12"/>
      <c r="K54" s="347" t="s">
        <v>6</v>
      </c>
      <c r="L54" s="347"/>
      <c r="M54" s="347"/>
      <c r="N54" s="12"/>
      <c r="O54" s="183">
        <f>C52/8066</f>
        <v>665.91715447557635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74"/>
    </row>
    <row r="55" spans="1:43" ht="15.75" customHeight="1" x14ac:dyDescent="0.25">
      <c r="A55" s="346" t="s">
        <v>9</v>
      </c>
      <c r="B55" s="347"/>
      <c r="C55" s="182">
        <f>C52/2.06</f>
        <v>2607421.2466019415</v>
      </c>
      <c r="D55" s="164"/>
      <c r="E55" s="164"/>
      <c r="F55" s="164"/>
      <c r="G55" s="164"/>
      <c r="H55" s="164"/>
      <c r="I55" s="164"/>
      <c r="J55" s="12"/>
      <c r="K55" s="6"/>
      <c r="L55" s="6"/>
      <c r="M55" s="6"/>
      <c r="N55" s="12"/>
      <c r="O55" s="5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74"/>
    </row>
    <row r="56" spans="1:43" ht="18" thickBot="1" x14ac:dyDescent="0.3">
      <c r="A56" s="349" t="s">
        <v>8</v>
      </c>
      <c r="B56" s="350"/>
      <c r="C56" s="192">
        <f>C55/2000</f>
        <v>1303.7106233009708</v>
      </c>
      <c r="D56" s="196"/>
      <c r="E56" s="196"/>
      <c r="F56" s="196"/>
      <c r="G56" s="196"/>
      <c r="H56" s="196"/>
      <c r="I56" s="196"/>
      <c r="J56" s="178"/>
      <c r="K56" s="194"/>
      <c r="L56" s="194"/>
      <c r="M56" s="194" t="s">
        <v>42</v>
      </c>
      <c r="N56" s="178"/>
      <c r="O56" s="195">
        <f>C52/10660</f>
        <v>503.873148968105</v>
      </c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81"/>
    </row>
    <row r="57" spans="1:43" ht="6" customHeight="1" x14ac:dyDescent="0.25">
      <c r="A57" s="163"/>
      <c r="B57" s="163"/>
      <c r="C57" s="184"/>
      <c r="D57" s="163"/>
      <c r="E57" s="6"/>
      <c r="F57" s="6"/>
      <c r="G57" s="6"/>
      <c r="H57" s="183"/>
      <c r="I57" s="16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43" x14ac:dyDescent="0.25">
      <c r="A58" s="11" t="s">
        <v>4</v>
      </c>
      <c r="B58" s="12"/>
      <c r="C58" s="12"/>
      <c r="D58" s="12"/>
      <c r="E58" s="12"/>
      <c r="F58" s="12"/>
      <c r="G58" s="12"/>
      <c r="H58" s="12"/>
      <c r="I58" s="12"/>
    </row>
    <row r="59" spans="1:43" ht="13.8" thickBot="1" x14ac:dyDescent="0.3"/>
    <row r="60" spans="1:43" ht="30" customHeight="1" thickBot="1" x14ac:dyDescent="0.3">
      <c r="A60" s="332" t="s">
        <v>157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4"/>
    </row>
    <row r="61" spans="1:43" ht="17.399999999999999" x14ac:dyDescent="0.25">
      <c r="A61" s="185"/>
      <c r="B61" s="186"/>
      <c r="C61" s="186"/>
      <c r="D61" s="186"/>
      <c r="E61" s="208"/>
      <c r="F61" s="208"/>
      <c r="G61" s="208"/>
      <c r="H61" s="208"/>
      <c r="I61" s="208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8"/>
    </row>
    <row r="62" spans="1:43" ht="17.399999999999999" x14ac:dyDescent="0.25">
      <c r="A62" s="346" t="s">
        <v>7</v>
      </c>
      <c r="B62" s="347"/>
      <c r="C62" s="3">
        <f>L12*1.54</f>
        <v>6524534.847599999</v>
      </c>
      <c r="D62" s="165"/>
      <c r="E62" s="165"/>
      <c r="F62" s="165"/>
      <c r="G62" s="165"/>
      <c r="H62" s="165"/>
      <c r="I62" s="165"/>
      <c r="J62" s="12"/>
      <c r="K62" s="347" t="s">
        <v>5</v>
      </c>
      <c r="L62" s="347"/>
      <c r="M62" s="347"/>
      <c r="N62" s="12"/>
      <c r="O62" s="4">
        <f>C62/11470</f>
        <v>568.83477311246725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74"/>
    </row>
    <row r="63" spans="1:43" ht="17.399999999999999" x14ac:dyDescent="0.25">
      <c r="A63" s="346" t="s">
        <v>8</v>
      </c>
      <c r="B63" s="347"/>
      <c r="C63" s="3">
        <f>C62/2000</f>
        <v>3262.2674237999995</v>
      </c>
      <c r="D63" s="165"/>
      <c r="E63" s="165"/>
      <c r="F63" s="165"/>
      <c r="G63" s="165"/>
      <c r="H63" s="165"/>
      <c r="I63" s="165"/>
      <c r="J63" s="12"/>
      <c r="K63" s="163"/>
      <c r="L63" s="163"/>
      <c r="M63" s="163"/>
      <c r="N63" s="12"/>
      <c r="O63" s="5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74"/>
    </row>
    <row r="64" spans="1:43" ht="17.399999999999999" x14ac:dyDescent="0.25">
      <c r="A64" s="191"/>
      <c r="B64" s="165"/>
      <c r="C64" s="10"/>
      <c r="D64" s="165"/>
      <c r="E64" s="165"/>
      <c r="F64" s="165"/>
      <c r="G64" s="165"/>
      <c r="H64" s="165"/>
      <c r="I64" s="165"/>
      <c r="J64" s="12"/>
      <c r="K64" s="347" t="s">
        <v>6</v>
      </c>
      <c r="L64" s="347"/>
      <c r="M64" s="347"/>
      <c r="N64" s="12"/>
      <c r="O64" s="7">
        <f>C62/8066</f>
        <v>808.8934847012149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74"/>
    </row>
    <row r="65" spans="1:28" ht="17.399999999999999" x14ac:dyDescent="0.25">
      <c r="A65" s="346" t="s">
        <v>9</v>
      </c>
      <c r="B65" s="347"/>
      <c r="C65" s="3">
        <f>C62/2.06</f>
        <v>3167249.9260194171</v>
      </c>
      <c r="D65" s="163"/>
      <c r="E65" s="165"/>
      <c r="F65" s="165"/>
      <c r="G65" s="165"/>
      <c r="H65" s="165"/>
      <c r="I65" s="165"/>
      <c r="J65" s="12"/>
      <c r="K65" s="6"/>
      <c r="L65" s="6"/>
      <c r="M65" s="6"/>
      <c r="N65" s="12"/>
      <c r="O65" s="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74"/>
    </row>
    <row r="66" spans="1:28" ht="17.399999999999999" x14ac:dyDescent="0.25">
      <c r="A66" s="346" t="s">
        <v>8</v>
      </c>
      <c r="B66" s="347"/>
      <c r="C66" s="3">
        <f>C65/2000</f>
        <v>1583.6249630097086</v>
      </c>
      <c r="D66" s="163"/>
      <c r="E66" s="165"/>
      <c r="F66" s="165"/>
      <c r="G66" s="165"/>
      <c r="H66" s="165"/>
      <c r="I66" s="165"/>
      <c r="J66" s="12"/>
      <c r="K66" s="6"/>
      <c r="L66" s="6"/>
      <c r="M66" s="6" t="s">
        <v>42</v>
      </c>
      <c r="N66" s="12"/>
      <c r="O66" s="7">
        <f>C62/10660</f>
        <v>612.05767801125694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74"/>
    </row>
    <row r="67" spans="1:28" ht="18" thickBot="1" x14ac:dyDescent="0.3">
      <c r="A67" s="199"/>
      <c r="B67" s="193"/>
      <c r="C67" s="200"/>
      <c r="D67" s="193"/>
      <c r="E67" s="209"/>
      <c r="F67" s="209"/>
      <c r="G67" s="209"/>
      <c r="H67" s="209"/>
      <c r="I67" s="209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81"/>
    </row>
    <row r="68" spans="1:28" x14ac:dyDescent="0.25">
      <c r="A68" s="11" t="s">
        <v>4</v>
      </c>
    </row>
  </sheetData>
  <sheetProtection password="D833" sheet="1" objects="1" scenarios="1"/>
  <mergeCells count="120">
    <mergeCell ref="N7:O7"/>
    <mergeCell ref="L8:M8"/>
    <mergeCell ref="N8:O8"/>
    <mergeCell ref="L9:M9"/>
    <mergeCell ref="A8:E8"/>
    <mergeCell ref="A6:E6"/>
    <mergeCell ref="A5:E5"/>
    <mergeCell ref="A7:E7"/>
    <mergeCell ref="H6:I6"/>
    <mergeCell ref="A9:E9"/>
    <mergeCell ref="B37:F37"/>
    <mergeCell ref="B36:F36"/>
    <mergeCell ref="A11:E11"/>
    <mergeCell ref="A20:E20"/>
    <mergeCell ref="A14:E14"/>
    <mergeCell ref="A18:E18"/>
    <mergeCell ref="A16:E16"/>
    <mergeCell ref="H16:I16"/>
    <mergeCell ref="H17:I17"/>
    <mergeCell ref="H18:I18"/>
    <mergeCell ref="A15:E15"/>
    <mergeCell ref="F14:G14"/>
    <mergeCell ref="H15:I15"/>
    <mergeCell ref="H14:I14"/>
    <mergeCell ref="A66:B66"/>
    <mergeCell ref="A62:B62"/>
    <mergeCell ref="K62:M62"/>
    <mergeCell ref="A63:B63"/>
    <mergeCell ref="K64:M64"/>
    <mergeCell ref="L29:M29"/>
    <mergeCell ref="L30:M30"/>
    <mergeCell ref="L31:M31"/>
    <mergeCell ref="L32:M32"/>
    <mergeCell ref="L33:M33"/>
    <mergeCell ref="J32:K32"/>
    <mergeCell ref="A65:B65"/>
    <mergeCell ref="A55:B55"/>
    <mergeCell ref="A56:B56"/>
    <mergeCell ref="J31:K31"/>
    <mergeCell ref="J33:K33"/>
    <mergeCell ref="A52:B52"/>
    <mergeCell ref="K54:M54"/>
    <mergeCell ref="K52:M52"/>
    <mergeCell ref="A53:B53"/>
    <mergeCell ref="B38:F38"/>
    <mergeCell ref="A50:AB50"/>
    <mergeCell ref="A60:AB60"/>
    <mergeCell ref="B39:F39"/>
    <mergeCell ref="N32:O32"/>
    <mergeCell ref="N33:O33"/>
    <mergeCell ref="A24:AB24"/>
    <mergeCell ref="J15:K15"/>
    <mergeCell ref="J16:K16"/>
    <mergeCell ref="J17:K17"/>
    <mergeCell ref="J18:K18"/>
    <mergeCell ref="J20:K20"/>
    <mergeCell ref="J21:K21"/>
    <mergeCell ref="L26:M26"/>
    <mergeCell ref="L27:M27"/>
    <mergeCell ref="L28:M28"/>
    <mergeCell ref="L15:M15"/>
    <mergeCell ref="L16:M16"/>
    <mergeCell ref="L17:M17"/>
    <mergeCell ref="L18:M18"/>
    <mergeCell ref="L20:M20"/>
    <mergeCell ref="N26:O26"/>
    <mergeCell ref="N27:O27"/>
    <mergeCell ref="N28:O28"/>
    <mergeCell ref="J26:K26"/>
    <mergeCell ref="J27:K27"/>
    <mergeCell ref="J29:K29"/>
    <mergeCell ref="N17:O17"/>
    <mergeCell ref="N18:O18"/>
    <mergeCell ref="N20:O20"/>
    <mergeCell ref="N21:O21"/>
    <mergeCell ref="L5:M5"/>
    <mergeCell ref="N5:O5"/>
    <mergeCell ref="N30:O30"/>
    <mergeCell ref="N9:O9"/>
    <mergeCell ref="N31:O31"/>
    <mergeCell ref="A2:AB2"/>
    <mergeCell ref="A3:AB3"/>
    <mergeCell ref="N14:O14"/>
    <mergeCell ref="A10:E10"/>
    <mergeCell ref="H5:I5"/>
    <mergeCell ref="H7:I7"/>
    <mergeCell ref="H8:I8"/>
    <mergeCell ref="J30:K30"/>
    <mergeCell ref="J28:K28"/>
    <mergeCell ref="A21:E21"/>
    <mergeCell ref="A25:I25"/>
    <mergeCell ref="F5:G5"/>
    <mergeCell ref="A4:AB4"/>
    <mergeCell ref="L6:M6"/>
    <mergeCell ref="N6:O6"/>
    <mergeCell ref="L7:M7"/>
    <mergeCell ref="N1:AB1"/>
    <mergeCell ref="J19:K19"/>
    <mergeCell ref="L19:M19"/>
    <mergeCell ref="N19:O19"/>
    <mergeCell ref="N29:O29"/>
    <mergeCell ref="J5:K5"/>
    <mergeCell ref="J6:K6"/>
    <mergeCell ref="J7:K7"/>
    <mergeCell ref="J8:K8"/>
    <mergeCell ref="J9:K9"/>
    <mergeCell ref="J10:K10"/>
    <mergeCell ref="J11:K11"/>
    <mergeCell ref="J12:K12"/>
    <mergeCell ref="L21:M21"/>
    <mergeCell ref="L10:M10"/>
    <mergeCell ref="N10:O10"/>
    <mergeCell ref="L11:M11"/>
    <mergeCell ref="N11:O11"/>
    <mergeCell ref="L12:M12"/>
    <mergeCell ref="N12:O12"/>
    <mergeCell ref="N15:O15"/>
    <mergeCell ref="N16:O16"/>
    <mergeCell ref="J14:K14"/>
    <mergeCell ref="L14:M14"/>
  </mergeCells>
  <phoneticPr fontId="5" type="noConversion"/>
  <printOptions horizontalCentered="1"/>
  <pageMargins left="0.25" right="0.25" top="0.25" bottom="0.25" header="0.25" footer="0.25"/>
  <pageSetup scale="48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workbookViewId="0"/>
  </sheetViews>
  <sheetFormatPr defaultRowHeight="13.2" x14ac:dyDescent="0.25"/>
  <cols>
    <col min="1" max="1" width="41.44140625" style="255" bestFit="1" customWidth="1"/>
    <col min="2" max="2" width="14.88671875" style="255" bestFit="1" customWidth="1"/>
    <col min="3" max="3" width="8.33203125" style="255" customWidth="1"/>
    <col min="4" max="4" width="41.44140625" style="255" bestFit="1" customWidth="1"/>
    <col min="5" max="5" width="12.77734375" style="255" bestFit="1" customWidth="1"/>
    <col min="6" max="6" width="8.33203125" style="255" customWidth="1"/>
    <col min="7" max="7" width="41.44140625" style="255" bestFit="1" customWidth="1"/>
    <col min="8" max="8" width="15.6640625" style="255" bestFit="1" customWidth="1"/>
    <col min="9" max="16384" width="8.88671875" style="255"/>
  </cols>
  <sheetData>
    <row r="2" spans="1:8" ht="15.6" x14ac:dyDescent="0.3">
      <c r="A2" s="254" t="s">
        <v>233</v>
      </c>
    </row>
    <row r="5" spans="1:8" ht="13.8" thickBot="1" x14ac:dyDescent="0.3">
      <c r="A5" s="364" t="s">
        <v>234</v>
      </c>
      <c r="B5" s="364"/>
      <c r="D5" s="364" t="s">
        <v>235</v>
      </c>
      <c r="E5" s="364"/>
      <c r="G5" s="364" t="s">
        <v>236</v>
      </c>
      <c r="H5" s="364"/>
    </row>
    <row r="6" spans="1:8" x14ac:dyDescent="0.25">
      <c r="A6" s="365" t="s">
        <v>237</v>
      </c>
      <c r="B6" s="366"/>
      <c r="D6" s="365" t="s">
        <v>238</v>
      </c>
      <c r="E6" s="366"/>
      <c r="G6" s="365" t="s">
        <v>239</v>
      </c>
      <c r="H6" s="366"/>
    </row>
    <row r="7" spans="1:8" x14ac:dyDescent="0.25">
      <c r="A7" s="367"/>
      <c r="B7" s="368"/>
      <c r="D7" s="367"/>
      <c r="E7" s="368"/>
      <c r="G7" s="367"/>
      <c r="H7" s="368"/>
    </row>
    <row r="8" spans="1:8" x14ac:dyDescent="0.25">
      <c r="A8" s="367"/>
      <c r="B8" s="368"/>
      <c r="D8" s="367"/>
      <c r="E8" s="368"/>
      <c r="G8" s="367"/>
      <c r="H8" s="368"/>
    </row>
    <row r="9" spans="1:8" ht="13.8" thickBot="1" x14ac:dyDescent="0.3">
      <c r="A9" s="369"/>
      <c r="B9" s="370"/>
      <c r="D9" s="369"/>
      <c r="E9" s="370"/>
      <c r="G9" s="369"/>
      <c r="H9" s="370"/>
    </row>
    <row r="12" spans="1:8" ht="13.8" thickBot="1" x14ac:dyDescent="0.3">
      <c r="A12" s="362" t="s">
        <v>174</v>
      </c>
      <c r="B12" s="362"/>
      <c r="D12" s="362" t="s">
        <v>174</v>
      </c>
      <c r="E12" s="362"/>
      <c r="G12" s="362" t="s">
        <v>174</v>
      </c>
      <c r="H12" s="362"/>
    </row>
    <row r="13" spans="1:8" ht="13.8" thickBot="1" x14ac:dyDescent="0.3">
      <c r="A13" s="256" t="s">
        <v>159</v>
      </c>
      <c r="B13" s="257" t="s">
        <v>168</v>
      </c>
      <c r="D13" s="256" t="s">
        <v>159</v>
      </c>
      <c r="E13" s="257" t="s">
        <v>150</v>
      </c>
      <c r="G13" s="256" t="s">
        <v>159</v>
      </c>
      <c r="H13" s="258" t="s">
        <v>240</v>
      </c>
    </row>
    <row r="14" spans="1:8" x14ac:dyDescent="0.25">
      <c r="A14" s="259" t="s">
        <v>166</v>
      </c>
      <c r="B14" s="260">
        <v>8</v>
      </c>
      <c r="D14" s="259" t="s">
        <v>166</v>
      </c>
      <c r="E14" s="260">
        <v>0</v>
      </c>
      <c r="G14" s="259" t="s">
        <v>166</v>
      </c>
      <c r="H14" s="260">
        <v>8</v>
      </c>
    </row>
    <row r="15" spans="1:8" x14ac:dyDescent="0.25">
      <c r="A15" s="259" t="s">
        <v>167</v>
      </c>
      <c r="B15" s="260">
        <v>8</v>
      </c>
      <c r="C15" s="363"/>
      <c r="D15" s="259" t="s">
        <v>167</v>
      </c>
      <c r="E15" s="260">
        <v>16</v>
      </c>
      <c r="G15" s="259" t="s">
        <v>167</v>
      </c>
      <c r="H15" s="260">
        <v>16</v>
      </c>
    </row>
    <row r="16" spans="1:8" x14ac:dyDescent="0.25">
      <c r="A16" s="259" t="s">
        <v>169</v>
      </c>
      <c r="B16" s="261">
        <v>1</v>
      </c>
      <c r="C16" s="363"/>
      <c r="D16" s="259" t="s">
        <v>169</v>
      </c>
      <c r="E16" s="261">
        <v>1</v>
      </c>
      <c r="G16" s="259" t="s">
        <v>169</v>
      </c>
      <c r="H16" s="261">
        <v>0.25</v>
      </c>
    </row>
    <row r="17" spans="1:8" x14ac:dyDescent="0.25">
      <c r="A17" s="259" t="s">
        <v>241</v>
      </c>
      <c r="B17" s="260">
        <v>8</v>
      </c>
      <c r="C17" s="363"/>
      <c r="D17" s="259" t="s">
        <v>241</v>
      </c>
      <c r="E17" s="260">
        <v>8</v>
      </c>
      <c r="G17" s="259" t="s">
        <v>241</v>
      </c>
      <c r="H17" s="260">
        <v>0</v>
      </c>
    </row>
    <row r="18" spans="1:8" x14ac:dyDescent="0.25">
      <c r="A18" s="259" t="s">
        <v>163</v>
      </c>
      <c r="B18" s="261">
        <v>0.7</v>
      </c>
      <c r="C18" s="363"/>
      <c r="D18" s="259" t="s">
        <v>163</v>
      </c>
      <c r="E18" s="261">
        <v>0.8</v>
      </c>
      <c r="G18" s="259" t="s">
        <v>163</v>
      </c>
      <c r="H18" s="261">
        <v>0.7</v>
      </c>
    </row>
    <row r="19" spans="1:8" ht="4.5" customHeight="1" x14ac:dyDescent="0.25">
      <c r="A19" s="262"/>
      <c r="B19" s="263"/>
      <c r="D19" s="262"/>
      <c r="E19" s="263"/>
      <c r="G19" s="262"/>
      <c r="H19" s="263"/>
    </row>
    <row r="20" spans="1:8" x14ac:dyDescent="0.25">
      <c r="A20" s="264" t="s">
        <v>160</v>
      </c>
      <c r="B20" s="265">
        <f>24*7*52</f>
        <v>8736</v>
      </c>
      <c r="D20" s="264" t="s">
        <v>160</v>
      </c>
      <c r="E20" s="265">
        <f>24*7*52</f>
        <v>8736</v>
      </c>
      <c r="G20" s="264" t="s">
        <v>160</v>
      </c>
      <c r="H20" s="265">
        <f>24*7*52</f>
        <v>8736</v>
      </c>
    </row>
    <row r="21" spans="1:8" x14ac:dyDescent="0.25">
      <c r="A21" s="264" t="s">
        <v>173</v>
      </c>
      <c r="B21" s="265">
        <f>(B14+B15*(1-B16)+B17*B18)*52*7</f>
        <v>4950.3999999999996</v>
      </c>
      <c r="D21" s="264" t="s">
        <v>173</v>
      </c>
      <c r="E21" s="265">
        <f>(E14+E15*(1-E16)+E17*E18)*52*7</f>
        <v>2329.6</v>
      </c>
      <c r="G21" s="264" t="s">
        <v>173</v>
      </c>
      <c r="H21" s="265">
        <f>(H14+H15*(1-H16)+H17*H18)*52*7</f>
        <v>7280</v>
      </c>
    </row>
    <row r="22" spans="1:8" x14ac:dyDescent="0.25">
      <c r="A22" s="264" t="s">
        <v>164</v>
      </c>
      <c r="B22" s="265">
        <f>B20-B21</f>
        <v>3785.6000000000004</v>
      </c>
      <c r="D22" s="264" t="s">
        <v>164</v>
      </c>
      <c r="E22" s="265">
        <f>E20-E21</f>
        <v>6406.4</v>
      </c>
      <c r="G22" s="264" t="s">
        <v>164</v>
      </c>
      <c r="H22" s="265">
        <f>H20-H21</f>
        <v>1456</v>
      </c>
    </row>
    <row r="23" spans="1:8" x14ac:dyDescent="0.25">
      <c r="A23" s="264" t="s">
        <v>162</v>
      </c>
      <c r="B23" s="265">
        <v>1000</v>
      </c>
      <c r="D23" s="264" t="s">
        <v>162</v>
      </c>
      <c r="E23" s="265">
        <v>1000</v>
      </c>
      <c r="G23" s="264" t="s">
        <v>162</v>
      </c>
      <c r="H23" s="265">
        <v>1000</v>
      </c>
    </row>
    <row r="24" spans="1:8" x14ac:dyDescent="0.25">
      <c r="A24" s="264" t="s">
        <v>161</v>
      </c>
      <c r="B24" s="265">
        <f>58.4*B22*B23/1000</f>
        <v>221079.04000000001</v>
      </c>
      <c r="D24" s="264" t="s">
        <v>161</v>
      </c>
      <c r="E24" s="265">
        <f>58.4*E22*E23/1000</f>
        <v>374133.75999999995</v>
      </c>
      <c r="G24" s="264" t="s">
        <v>161</v>
      </c>
      <c r="H24" s="265">
        <f>58.4*H22*H23/1000</f>
        <v>85030.399999999994</v>
      </c>
    </row>
    <row r="25" spans="1:8" ht="14.55" customHeight="1" thickBot="1" x14ac:dyDescent="0.3">
      <c r="A25" s="266" t="s">
        <v>165</v>
      </c>
      <c r="B25" s="156">
        <v>0.09</v>
      </c>
      <c r="D25" s="266" t="s">
        <v>165</v>
      </c>
      <c r="E25" s="156">
        <v>0.09</v>
      </c>
      <c r="G25" s="266" t="s">
        <v>165</v>
      </c>
      <c r="H25" s="156">
        <v>0.09</v>
      </c>
    </row>
    <row r="26" spans="1:8" ht="14.4" thickTop="1" thickBot="1" x14ac:dyDescent="0.3">
      <c r="A26" s="267" t="s">
        <v>195</v>
      </c>
      <c r="B26" s="268">
        <f>B24*B25</f>
        <v>19897.113600000001</v>
      </c>
      <c r="D26" s="267" t="s">
        <v>195</v>
      </c>
      <c r="E26" s="268">
        <f>E24*E25</f>
        <v>33672.038399999998</v>
      </c>
      <c r="G26" s="267" t="s">
        <v>195</v>
      </c>
      <c r="H26" s="268">
        <f>H24*H25</f>
        <v>7652.735999999999</v>
      </c>
    </row>
    <row r="27" spans="1:8" ht="13.8" thickBot="1" x14ac:dyDescent="0.3">
      <c r="A27" s="267" t="s">
        <v>198</v>
      </c>
      <c r="B27" s="268">
        <f>58.4*B20*B23*B25/1000</f>
        <v>45916.41599999999</v>
      </c>
      <c r="D27" s="267" t="s">
        <v>198</v>
      </c>
      <c r="E27" s="268">
        <f>58.4*E20*E23*E25/1000</f>
        <v>45916.41599999999</v>
      </c>
      <c r="G27" s="267" t="s">
        <v>198</v>
      </c>
      <c r="H27" s="268">
        <f>58.4*H20*H23*H25/1000</f>
        <v>45916.41599999999</v>
      </c>
    </row>
    <row r="28" spans="1:8" ht="13.8" thickBot="1" x14ac:dyDescent="0.3">
      <c r="A28" s="269" t="s">
        <v>196</v>
      </c>
      <c r="B28" s="270">
        <f>B27-B26</f>
        <v>26019.30239999999</v>
      </c>
      <c r="D28" s="269" t="s">
        <v>196</v>
      </c>
      <c r="E28" s="270">
        <f>E27-E26</f>
        <v>12244.377599999993</v>
      </c>
      <c r="G28" s="269" t="s">
        <v>196</v>
      </c>
      <c r="H28" s="270">
        <f>H27-H26</f>
        <v>38263.679999999993</v>
      </c>
    </row>
  </sheetData>
  <mergeCells count="11">
    <mergeCell ref="A5:B5"/>
    <mergeCell ref="D5:E5"/>
    <mergeCell ref="G5:H5"/>
    <mergeCell ref="A6:B9"/>
    <mergeCell ref="D6:E9"/>
    <mergeCell ref="G6:H9"/>
    <mergeCell ref="A12:B12"/>
    <mergeCell ref="D12:E12"/>
    <mergeCell ref="G12:H12"/>
    <mergeCell ref="C15:C16"/>
    <mergeCell ref="C17:C18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Controls Input Sheet</vt:lpstr>
      <vt:lpstr>Input Sheet</vt:lpstr>
      <vt:lpstr>Savings and TCO Summary</vt:lpstr>
      <vt:lpstr>Scenarios</vt:lpstr>
      <vt:lpstr>'Controls Input Sheet'!Print_Area</vt:lpstr>
      <vt:lpstr>'Input Sheet'!Print_Area</vt:lpstr>
      <vt:lpstr>'Savings and TCO Summary'!Print_Area</vt:lpstr>
      <vt:lpstr>Scenarios!Print_Area</vt:lpstr>
    </vt:vector>
  </TitlesOfParts>
  <Company>Cooper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e3a4a</dc:creator>
  <cp:lastModifiedBy>Correll, Michael A</cp:lastModifiedBy>
  <cp:lastPrinted>2018-03-13T14:25:34Z</cp:lastPrinted>
  <dcterms:created xsi:type="dcterms:W3CDTF">2008-10-01T17:35:03Z</dcterms:created>
  <dcterms:modified xsi:type="dcterms:W3CDTF">2018-03-13T14:29:27Z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ExAnalyzer_OldName">
    <vt:lpwstr>Connected VMV ROI Calculator.xlsx</vt:lpwstr>
  </property>
</Properties>
</file>