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9900" windowHeight="4710" tabRatio="700"/>
  </bookViews>
  <sheets>
    <sheet name="Input Sheet" sheetId="7" r:id="rId1"/>
    <sheet name="Total Cost of Ownership Summary" sheetId="6" r:id="rId2"/>
  </sheets>
  <definedNames>
    <definedName name="_xlnm.Print_Area" localSheetId="1">'Total Cost of Ownership Summary'!$A$1:$I$66</definedName>
  </definedNames>
  <calcPr calcId="145621" iterate="1" iterateCount="10"/>
</workbook>
</file>

<file path=xl/calcChain.xml><?xml version="1.0" encoding="utf-8"?>
<calcChain xmlns="http://schemas.openxmlformats.org/spreadsheetml/2006/main">
  <c r="F21" i="6" l="1"/>
  <c r="L7" i="7" l="1"/>
  <c r="K7" i="7"/>
  <c r="J7" i="7"/>
  <c r="H13" i="6" l="1"/>
  <c r="D32" i="6" l="1"/>
  <c r="K28" i="7" l="1"/>
  <c r="J28" i="7"/>
  <c r="C31" i="6" l="1"/>
  <c r="D31" i="6" l="1"/>
  <c r="K20" i="7"/>
  <c r="K21" i="7" s="1"/>
  <c r="G36" i="6" l="1"/>
  <c r="G35" i="6"/>
  <c r="N58" i="7"/>
  <c r="O58" i="7" s="1"/>
  <c r="N57" i="7"/>
  <c r="O57" i="7" s="1"/>
  <c r="N56" i="7"/>
  <c r="O56" i="7" s="1"/>
  <c r="N55" i="7"/>
  <c r="O55" i="7" s="1"/>
  <c r="N54" i="7"/>
  <c r="O54" i="7" s="1"/>
  <c r="N53" i="7"/>
  <c r="O53" i="7" s="1"/>
  <c r="K42" i="7" l="1"/>
  <c r="K41" i="7"/>
  <c r="K39" i="7"/>
  <c r="K40" i="7"/>
  <c r="J25" i="7"/>
  <c r="J24" i="7"/>
  <c r="L28" i="7" l="1"/>
  <c r="J26" i="7"/>
  <c r="I26" i="7" s="1"/>
  <c r="H10" i="6" l="1"/>
  <c r="F10" i="6"/>
  <c r="H19" i="6"/>
  <c r="N7" i="7"/>
  <c r="N28" i="7" l="1"/>
  <c r="F9" i="6" l="1"/>
  <c r="F18" i="6" s="1"/>
  <c r="A6" i="6"/>
  <c r="F19" i="6" l="1"/>
  <c r="G34" i="6"/>
  <c r="C34" i="6"/>
  <c r="C30" i="6"/>
  <c r="F23" i="6" l="1"/>
  <c r="F20" i="6"/>
  <c r="F11" i="6"/>
  <c r="H14" i="6"/>
  <c r="C36" i="6" s="1"/>
  <c r="D33" i="6"/>
  <c r="D34" i="6" s="1"/>
  <c r="F22" i="6"/>
  <c r="H24" i="6" l="1"/>
  <c r="H25" i="6" s="1"/>
  <c r="C37" i="6" s="1"/>
  <c r="G32" i="6" s="1"/>
  <c r="F12" i="6"/>
  <c r="C35" i="6" l="1"/>
  <c r="H11" i="6"/>
  <c r="C38" i="6" l="1"/>
  <c r="H12" i="6"/>
  <c r="H16" i="6" s="1"/>
  <c r="C60" i="6" s="1"/>
  <c r="H15" i="6"/>
  <c r="C61" i="6" l="1"/>
  <c r="D35" i="6"/>
  <c r="G31" i="6" l="1"/>
  <c r="G33" i="6" s="1"/>
  <c r="D38" i="6"/>
  <c r="H62" i="6"/>
  <c r="C63" i="6"/>
  <c r="C64" i="6" s="1"/>
  <c r="H60" i="6"/>
  <c r="H64" i="6"/>
  <c r="G37" i="6" l="1"/>
  <c r="G41" i="6"/>
  <c r="G40" i="6"/>
</calcChain>
</file>

<file path=xl/comments1.xml><?xml version="1.0" encoding="utf-8"?>
<comments xmlns="http://schemas.openxmlformats.org/spreadsheetml/2006/main">
  <authors>
    <author>Windows User</author>
  </authors>
  <commentList>
    <comment ref="I23" authorId="0">
      <text>
        <r>
          <rPr>
            <sz val="9"/>
            <color indexed="81"/>
            <rFont val="Tahoma"/>
            <family val="2"/>
          </rPr>
          <t xml:space="preserve">Typical Value for most lighting systems
</t>
        </r>
      </text>
    </comment>
    <comment ref="I26" authorId="0">
      <text>
        <r>
          <rPr>
            <sz val="9"/>
            <color indexed="81"/>
            <rFont val="Tahoma"/>
            <family val="2"/>
          </rPr>
          <t>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J26" authorId="0">
      <text>
        <r>
          <rPr>
            <b/>
            <sz val="9"/>
            <color indexed="81"/>
            <rFont val="Tahoma"/>
            <family val="2"/>
          </rPr>
          <t>Anshuman Bhargava:</t>
        </r>
        <r>
          <rPr>
            <sz val="9"/>
            <color indexed="81"/>
            <rFont val="Tahoma"/>
            <family val="2"/>
          </rPr>
          <t xml:space="preserve">
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I27" authorId="0">
      <text>
        <r>
          <rPr>
            <b/>
            <sz val="9"/>
            <color indexed="81"/>
            <rFont val="Tahoma"/>
            <family val="2"/>
          </rPr>
          <t>Cannot exceed 131F or 55C operating ambient temperature</t>
        </r>
      </text>
    </comment>
  </commentList>
</comments>
</file>

<file path=xl/comments2.xml><?xml version="1.0" encoding="utf-8"?>
<comments xmlns="http://schemas.openxmlformats.org/spreadsheetml/2006/main">
  <authors>
    <author>EBS Desktop Services</author>
  </authors>
  <commentList>
    <comment ref="F19" authorId="0">
      <text>
        <r>
          <rPr>
            <sz val="9"/>
            <color indexed="81"/>
            <rFont val="Tahoma"/>
            <family val="2"/>
          </rPr>
          <t xml:space="preserve">50% of HID fixtures fail after reaching its economic rated life
</t>
        </r>
      </text>
    </comment>
  </commentList>
</comments>
</file>

<file path=xl/sharedStrings.xml><?xml version="1.0" encoding="utf-8"?>
<sst xmlns="http://schemas.openxmlformats.org/spreadsheetml/2006/main" count="170" uniqueCount="159">
  <si>
    <t>LED SYSTEM</t>
  </si>
  <si>
    <t>Annual energy consumption (kWhr)</t>
  </si>
  <si>
    <t>Annual energy cost ($)</t>
  </si>
  <si>
    <t>Annual Energy Savings ($)</t>
  </si>
  <si>
    <t>Energy Savings</t>
  </si>
  <si>
    <t>Maintenance Savings</t>
  </si>
  <si>
    <t>*Based on Environmental Protection Agency (EPA) emissions factor assumptions.</t>
  </si>
  <si>
    <t>Fewer Cars on the Road:</t>
  </si>
  <si>
    <t>Acres of Trees Planted:</t>
  </si>
  <si>
    <t>CO2 Emissions (lbs):</t>
  </si>
  <si>
    <t>(tons):</t>
  </si>
  <si>
    <t>Coal Emissions (lbs):</t>
  </si>
  <si>
    <t>Equivilant Environmental Impact*</t>
  </si>
  <si>
    <t>Input Watts</t>
  </si>
  <si>
    <t>LED Luminaire Cost</t>
  </si>
  <si>
    <t>A</t>
  </si>
  <si>
    <t>B</t>
  </si>
  <si>
    <t>C</t>
  </si>
  <si>
    <t>Lamp Source</t>
  </si>
  <si>
    <t>CHART A</t>
  </si>
  <si>
    <t>Enter the labor rate ($ per Hour)</t>
  </si>
  <si>
    <t>What is the energy cost on site ? ( $ / kWhr )</t>
  </si>
  <si>
    <t>Ave Lamp Life</t>
  </si>
  <si>
    <t>Input Data</t>
  </si>
  <si>
    <t>Operating Hours Per Year</t>
  </si>
  <si>
    <t>Annual Cost of Replacement Lamps ($)</t>
  </si>
  <si>
    <t>Enter lighting hours of operation per day (12, 24 etc)</t>
  </si>
  <si>
    <t>Many Harsh and Hazardous locations require 2 person teams</t>
  </si>
  <si>
    <t>Use the fully loaded labor rate</t>
  </si>
  <si>
    <t>Energy Savings over  Life of the LED System ($)</t>
  </si>
  <si>
    <t>Cost of replacement lamps in ($)</t>
  </si>
  <si>
    <t>Cost of disposal per lamp ($)</t>
  </si>
  <si>
    <t>Energy Cost over life of LED System</t>
  </si>
  <si>
    <t>Customer or Project Name</t>
  </si>
  <si>
    <t>Notes:</t>
  </si>
  <si>
    <t>Years of Maintenance Free Operation</t>
  </si>
  <si>
    <t>Total Cost of Ownership</t>
  </si>
  <si>
    <t>Time per fixture for lamp maintenance (Hours)</t>
  </si>
  <si>
    <t>How many people are required for lamp maintenance ?</t>
  </si>
  <si>
    <t>Be sure replacement time includes time for approvals, down time, paperwork, lock out tag out, man lift, etc.</t>
  </si>
  <si>
    <t>Design Parameter</t>
  </si>
  <si>
    <t>Toll Free:  (866) 764-5454
Fax:  (315) 477-5179
crouse.customerctr@cooperindustries.com</t>
  </si>
  <si>
    <t>Total Cost of Ownership Comparison</t>
  </si>
  <si>
    <t>LED</t>
  </si>
  <si>
    <t>Total $ Savings!</t>
  </si>
  <si>
    <t>Initial Investment:</t>
  </si>
  <si>
    <t>Energy Savings:</t>
  </si>
  <si>
    <t>Total Savings:</t>
  </si>
  <si>
    <t>Total $ Return:</t>
  </si>
  <si>
    <t># Housholds Annual Electricity Usage:</t>
  </si>
  <si>
    <t xml:space="preserve">Estimated Tax Rebate: </t>
  </si>
  <si>
    <t xml:space="preserve">Initial Investment </t>
  </si>
  <si>
    <t>Tax Rebate</t>
  </si>
  <si>
    <t>Net Investment</t>
  </si>
  <si>
    <t xml:space="preserve">Enter a cost of the existing luminaire ($ each) </t>
  </si>
  <si>
    <t>Labor &amp; Material Savings:</t>
  </si>
  <si>
    <t>Energy &amp; Maintenance Savings</t>
  </si>
  <si>
    <t>`</t>
  </si>
  <si>
    <t>Payback Period on the Entire LED Installation (Years)</t>
  </si>
  <si>
    <t>Chart B</t>
  </si>
  <si>
    <t>D</t>
  </si>
  <si>
    <t>100W HPS</t>
  </si>
  <si>
    <t>150W HPS</t>
  </si>
  <si>
    <t>100W MV</t>
  </si>
  <si>
    <t>175WMV</t>
  </si>
  <si>
    <t>250W MV</t>
  </si>
  <si>
    <t>70W MH</t>
  </si>
  <si>
    <t>100W MH</t>
  </si>
  <si>
    <t>150W MH</t>
  </si>
  <si>
    <t>175W MH</t>
  </si>
  <si>
    <t>250W MH</t>
  </si>
  <si>
    <t>320W MH</t>
  </si>
  <si>
    <t>200W HPS</t>
  </si>
  <si>
    <t>250W HPS</t>
  </si>
  <si>
    <t>Traditional Lamp Source (Click Cell to Select Lamp Source)</t>
  </si>
  <si>
    <t>LED Light Source (Click Cell to Select LED Source)</t>
  </si>
  <si>
    <t>Customer Name</t>
  </si>
  <si>
    <t>400W MH</t>
  </si>
  <si>
    <t>6 Lamp 54W T5</t>
  </si>
  <si>
    <t>Payback Period on the Incremental LED Cost (Years)</t>
  </si>
  <si>
    <t>Total Maintenance Costs</t>
  </si>
  <si>
    <t>Annual Labor Costs ($)</t>
  </si>
  <si>
    <t>Annual Fixed Maintenance Costs</t>
  </si>
  <si>
    <t>Annual Maintenance Savings ($)</t>
  </si>
  <si>
    <t>Maintenance Savings over Life of the LED System ($)</t>
  </si>
  <si>
    <t>70W  PSMH</t>
  </si>
  <si>
    <t>100W PSMH</t>
  </si>
  <si>
    <t>150W PSMH</t>
  </si>
  <si>
    <t>175W PSMH</t>
  </si>
  <si>
    <t>250W PSMH</t>
  </si>
  <si>
    <t>320W PSMH</t>
  </si>
  <si>
    <t>400W PSMH</t>
  </si>
  <si>
    <t>Fraction of year of the cooling season (in weeks)</t>
  </si>
  <si>
    <t>Lighting load met by mechanical cooling (How much of lighting system's heat must be removed by cooling)</t>
  </si>
  <si>
    <t xml:space="preserve">    Ambient Temperature (deg F)</t>
  </si>
  <si>
    <t>Coefficient of Performance of cooling system (COP)</t>
  </si>
  <si>
    <t>Is LED lighting being used in an air conditioned area requiring cooling (If Y, then input ROWS 13-17)</t>
  </si>
  <si>
    <t>YES</t>
  </si>
  <si>
    <t>NO</t>
  </si>
  <si>
    <t xml:space="preserve">    Temperature to be maintained within the air conditioned building (deg F)</t>
  </si>
  <si>
    <t>Estimated  Utility rebate for the project ($)</t>
  </si>
  <si>
    <t>Manufacturing or process downtime opportunity cost due to loss of lighting ($)</t>
  </si>
  <si>
    <t xml:space="preserve">Other Fixed Cost Assosciated with Lamp Maintenance (Lift Rental, Scaffolding etc) </t>
  </si>
  <si>
    <t>Estimated EPACT (Section 179D) tax savings for the project ($)</t>
  </si>
  <si>
    <t>Champ VMV LED Fixture Lifetime Analysis</t>
  </si>
  <si>
    <t xml:space="preserve">Ambient Temp </t>
  </si>
  <si>
    <t>LED Case Temp</t>
  </si>
  <si>
    <t>*L70 LED Life (Hrs)</t>
  </si>
  <si>
    <t>**L10 Driver Life (Hrs)</t>
  </si>
  <si>
    <t xml:space="preserve">Driver Life (90% of L10) (Hrs) </t>
  </si>
  <si>
    <t>Fixture Life (Hrs)</t>
  </si>
  <si>
    <t>25C</t>
  </si>
  <si>
    <t>62C</t>
  </si>
  <si>
    <t>30C</t>
  </si>
  <si>
    <t>67C</t>
  </si>
  <si>
    <t>35C</t>
  </si>
  <si>
    <t>72C</t>
  </si>
  <si>
    <t>40C</t>
  </si>
  <si>
    <t>77C</t>
  </si>
  <si>
    <t>45C</t>
  </si>
  <si>
    <t>82C</t>
  </si>
  <si>
    <t>55C</t>
  </si>
  <si>
    <t>92C</t>
  </si>
  <si>
    <t>Air Cooling energy savings due to switching over to LED lighting (Kwhr/yr)</t>
  </si>
  <si>
    <t>Air Cooling energy savings due to switching over to LED lighting ($/yr)</t>
  </si>
  <si>
    <t>Total Lighting Energy Costs</t>
  </si>
  <si>
    <t>Incremental Air Cooling Energy Costs</t>
  </si>
  <si>
    <t>Estimated Utility Rebate:</t>
  </si>
  <si>
    <t xml:space="preserve">Enter the input data for your project into the yellow cells below.  When finished, click on the "Total Cost of Ownership Summary" tab to view the cost savings and ROI realized </t>
  </si>
  <si>
    <t>Occupancy Sensor Used</t>
  </si>
  <si>
    <t>% of time lights are turned off in 24 hrs</t>
  </si>
  <si>
    <t xml:space="preserve">Occupancy sensor cost </t>
  </si>
  <si>
    <t>Operating Hrs Per Year With Occ sensor</t>
  </si>
  <si>
    <t>55W Induction</t>
  </si>
  <si>
    <t>85W Induction</t>
  </si>
  <si>
    <t>165W Induction</t>
  </si>
  <si>
    <t>Utility Rebate</t>
  </si>
  <si>
    <t>Input quantity of LED fixtures used for the project ?</t>
  </si>
  <si>
    <t>Input quantity of HID/HPS fixtures being replaced or retrofitted ?</t>
  </si>
  <si>
    <t>Maximum average temperature to which LED fixture will be exposed throughout the year (deg F)</t>
  </si>
  <si>
    <t>310W HPS</t>
  </si>
  <si>
    <t>400W HPS</t>
  </si>
  <si>
    <t>600W HPS</t>
  </si>
  <si>
    <t>750W HPS</t>
  </si>
  <si>
    <t>750W MH</t>
  </si>
  <si>
    <t>850W MH</t>
  </si>
  <si>
    <t>1000W MH</t>
  </si>
  <si>
    <t>750W PSMH</t>
  </si>
  <si>
    <t>850W PSMH</t>
  </si>
  <si>
    <t>1000W PSMH</t>
  </si>
  <si>
    <t>Champ® VMV LED - ROI Calculator</t>
  </si>
  <si>
    <t>VMV 13L - 131W</t>
  </si>
  <si>
    <t>VMV 17L - 168W</t>
  </si>
  <si>
    <t>VMV 21L -196W</t>
  </si>
  <si>
    <t>VMV 25L - 232W</t>
  </si>
  <si>
    <t>Duration after which ballast will be replaced (# of years)</t>
  </si>
  <si>
    <t>Disposal cost of ballast ($)</t>
  </si>
  <si>
    <t>Annual Cost of Replacement Ballasts ($)</t>
  </si>
  <si>
    <t>Cost of replacement of ballast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</si>
</sst>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_);\(#,##0.0\)"/>
    <numFmt numFmtId="167" formatCode="&quot;$&quot;#,##0.0_);\(&quot;$&quot;#,##0.0\)"/>
    <numFmt numFmtId="168" formatCode="0.0"/>
  </numFmts>
  <fonts count="35" x14ac:knownFonts="1">
    <font>
      <sz val="10"/>
      <name val="Arial"/>
    </font>
    <font>
      <sz val="10"/>
      <name val="Arial"/>
      <family val="2"/>
    </font>
    <font>
      <sz val="8"/>
      <name val="Arial"/>
      <family val="2"/>
    </font>
    <font>
      <b/>
      <sz val="10"/>
      <name val="Arial"/>
      <family val="2"/>
    </font>
    <font>
      <b/>
      <sz val="14"/>
      <name val="Arial"/>
      <family val="2"/>
    </font>
    <font>
      <sz val="14"/>
      <name val="Arial"/>
      <family val="2"/>
    </font>
    <font>
      <b/>
      <sz val="14"/>
      <color indexed="9"/>
      <name val="Arial"/>
      <family val="2"/>
    </font>
    <font>
      <sz val="12"/>
      <name val="Arial"/>
      <family val="2"/>
    </font>
    <font>
      <sz val="10"/>
      <name val="Arial"/>
      <family val="2"/>
    </font>
    <font>
      <b/>
      <sz val="14"/>
      <color indexed="17"/>
      <name val="Arial"/>
      <family val="2"/>
    </font>
    <font>
      <b/>
      <sz val="14"/>
      <color indexed="10"/>
      <name val="Arial"/>
      <family val="2"/>
    </font>
    <font>
      <b/>
      <sz val="18"/>
      <color indexed="9"/>
      <name val="Arial"/>
      <family val="2"/>
    </font>
    <font>
      <sz val="14"/>
      <color indexed="9"/>
      <name val="Arial"/>
      <family val="2"/>
    </font>
    <font>
      <b/>
      <i/>
      <sz val="14"/>
      <color indexed="9"/>
      <name val="Arial"/>
      <family val="2"/>
    </font>
    <font>
      <i/>
      <sz val="14"/>
      <color indexed="9"/>
      <name val="Arial"/>
      <family val="2"/>
    </font>
    <font>
      <sz val="13"/>
      <name val="Arial"/>
      <family val="2"/>
    </font>
    <font>
      <b/>
      <sz val="13"/>
      <name val="Arial"/>
      <family val="2"/>
    </font>
    <font>
      <b/>
      <sz val="14"/>
      <color theme="1"/>
      <name val="Arial"/>
      <family val="2"/>
    </font>
    <font>
      <b/>
      <sz val="11"/>
      <color theme="1"/>
      <name val="Arial"/>
      <family val="2"/>
    </font>
    <font>
      <b/>
      <sz val="12"/>
      <color theme="1"/>
      <name val="Arial"/>
      <family val="2"/>
    </font>
    <font>
      <b/>
      <sz val="24"/>
      <color theme="1"/>
      <name val="Arial"/>
      <family val="2"/>
    </font>
    <font>
      <b/>
      <sz val="8"/>
      <name val="Arial"/>
      <family val="2"/>
    </font>
    <font>
      <b/>
      <sz val="8"/>
      <color indexed="9"/>
      <name val="Arial"/>
      <family val="2"/>
    </font>
    <font>
      <b/>
      <u/>
      <sz val="8"/>
      <name val="Arial"/>
      <family val="2"/>
    </font>
    <font>
      <b/>
      <sz val="8"/>
      <color indexed="62"/>
      <name val="Arial"/>
      <family val="2"/>
    </font>
    <font>
      <sz val="8"/>
      <color indexed="62"/>
      <name val="Arial"/>
      <family val="2"/>
    </font>
    <font>
      <b/>
      <sz val="8"/>
      <color theme="3" tint="-0.249977111117893"/>
      <name val="Arial"/>
      <family val="2"/>
    </font>
    <font>
      <sz val="8"/>
      <color indexed="18"/>
      <name val="Arial"/>
      <family val="2"/>
    </font>
    <font>
      <b/>
      <sz val="8"/>
      <color indexed="18"/>
      <name val="Arial"/>
      <family val="2"/>
    </font>
    <font>
      <sz val="9"/>
      <color indexed="81"/>
      <name val="Tahoma"/>
      <family val="2"/>
    </font>
    <font>
      <b/>
      <sz val="11"/>
      <color theme="1"/>
      <name val="Calibri"/>
      <family val="2"/>
      <scheme val="minor"/>
    </font>
    <font>
      <b/>
      <sz val="8"/>
      <color rgb="FFFF0000"/>
      <name val="Arial"/>
      <family val="2"/>
    </font>
    <font>
      <b/>
      <sz val="9"/>
      <color indexed="81"/>
      <name val="Tahoma"/>
      <family val="2"/>
    </font>
    <font>
      <i/>
      <sz val="8"/>
      <name val="Arial"/>
      <family val="2"/>
    </font>
    <font>
      <b/>
      <i/>
      <sz val="8"/>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9FD789"/>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99"/>
        <bgColor indexed="64"/>
      </patternFill>
    </fill>
    <fill>
      <patternFill patternType="solid">
        <fgColor rgb="FFFFFFFF"/>
        <bgColor indexed="64"/>
      </patternFill>
    </fill>
  </fills>
  <borders count="38">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theme="0"/>
      </top>
      <bottom style="thin">
        <color theme="0"/>
      </bottom>
      <diagonal/>
    </border>
    <border>
      <left style="medium">
        <color indexed="64"/>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08">
    <xf numFmtId="0" fontId="0" fillId="0" borderId="0" xfId="0"/>
    <xf numFmtId="0" fontId="0" fillId="0" borderId="0" xfId="0" applyAlignment="1">
      <alignment vertical="center"/>
    </xf>
    <xf numFmtId="0" fontId="0" fillId="2" borderId="0" xfId="0" applyFill="1" applyBorder="1" applyAlignment="1">
      <alignment horizontal="center" vertical="center"/>
    </xf>
    <xf numFmtId="0" fontId="0" fillId="0" borderId="0" xfId="0" applyAlignment="1">
      <alignment horizontal="center" vertical="center"/>
    </xf>
    <xf numFmtId="0" fontId="5" fillId="2" borderId="4" xfId="0" applyFont="1" applyFill="1" applyBorder="1" applyAlignment="1">
      <alignment vertical="center"/>
    </xf>
    <xf numFmtId="0" fontId="5" fillId="2" borderId="8" xfId="0" applyFont="1" applyFill="1" applyBorder="1" applyAlignment="1">
      <alignment vertical="center"/>
    </xf>
    <xf numFmtId="0" fontId="5" fillId="2" borderId="10" xfId="0" applyFont="1" applyFill="1" applyBorder="1" applyAlignment="1">
      <alignment vertical="center"/>
    </xf>
    <xf numFmtId="3" fontId="9" fillId="2" borderId="2" xfId="1" applyNumberFormat="1" applyFont="1" applyFill="1" applyBorder="1" applyAlignment="1">
      <alignment horizontal="center" vertical="center"/>
    </xf>
    <xf numFmtId="3" fontId="9" fillId="2" borderId="2"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wrapText="1"/>
    </xf>
    <xf numFmtId="0" fontId="4" fillId="2" borderId="0" xfId="0" applyFont="1" applyFill="1" applyBorder="1" applyAlignment="1">
      <alignment horizontal="right" vertical="center"/>
    </xf>
    <xf numFmtId="3" fontId="9" fillId="2" borderId="2" xfId="1" applyNumberFormat="1" applyFont="1" applyFill="1" applyBorder="1" applyAlignment="1">
      <alignment horizontal="center" vertical="center" wrapText="1"/>
    </xf>
    <xf numFmtId="0" fontId="4" fillId="2" borderId="8" xfId="0" applyFont="1" applyFill="1" applyBorder="1" applyAlignment="1">
      <alignment horizontal="right" vertical="center"/>
    </xf>
    <xf numFmtId="3" fontId="9" fillId="2" borderId="8" xfId="1"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15" fillId="6" borderId="0" xfId="0" applyFont="1" applyFill="1" applyBorder="1" applyAlignment="1">
      <alignment horizontal="right" vertical="center"/>
    </xf>
    <xf numFmtId="0" fontId="16" fillId="6" borderId="0" xfId="0" applyFont="1" applyFill="1" applyBorder="1" applyAlignment="1">
      <alignment horizontal="right" vertical="center"/>
    </xf>
    <xf numFmtId="165" fontId="5" fillId="2" borderId="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12" fillId="2" borderId="6" xfId="0" applyFont="1" applyFill="1" applyBorder="1" applyAlignment="1">
      <alignment vertical="center"/>
    </xf>
    <xf numFmtId="0" fontId="13" fillId="2" borderId="6" xfId="0" applyFont="1" applyFill="1" applyBorder="1" applyAlignment="1">
      <alignment horizontal="center" vertical="center"/>
    </xf>
    <xf numFmtId="0" fontId="14" fillId="2" borderId="6" xfId="0" applyFont="1" applyFill="1" applyBorder="1" applyAlignment="1">
      <alignment horizontal="center" vertical="center"/>
    </xf>
    <xf numFmtId="0" fontId="13" fillId="2" borderId="6" xfId="0" applyFont="1" applyFill="1" applyBorder="1" applyAlignment="1">
      <alignment horizontal="right" vertical="center"/>
    </xf>
    <xf numFmtId="0" fontId="5" fillId="2" borderId="7" xfId="0" applyFont="1" applyFill="1" applyBorder="1" applyAlignment="1">
      <alignment vertical="center"/>
    </xf>
    <xf numFmtId="3" fontId="5" fillId="2" borderId="0" xfId="0" applyNumberFormat="1" applyFont="1" applyFill="1" applyBorder="1" applyAlignment="1">
      <alignment horizontal="center" vertical="center"/>
    </xf>
    <xf numFmtId="0" fontId="4" fillId="2" borderId="4" xfId="0" applyFont="1" applyFill="1" applyBorder="1" applyAlignment="1">
      <alignment horizontal="right" vertical="center" wrapText="1"/>
    </xf>
    <xf numFmtId="0" fontId="4" fillId="2" borderId="8" xfId="0" applyFont="1" applyFill="1" applyBorder="1" applyAlignment="1">
      <alignment horizontal="right" vertical="center" wrapText="1"/>
    </xf>
    <xf numFmtId="3" fontId="9" fillId="2" borderId="8" xfId="1" applyNumberFormat="1" applyFont="1" applyFill="1" applyBorder="1" applyAlignment="1">
      <alignment horizontal="left" vertical="center"/>
    </xf>
    <xf numFmtId="0" fontId="8" fillId="2" borderId="0" xfId="0" applyFont="1" applyFill="1" applyBorder="1" applyAlignment="1">
      <alignment vertical="center"/>
    </xf>
    <xf numFmtId="0" fontId="0" fillId="2" borderId="0" xfId="0" applyFill="1" applyBorder="1" applyAlignment="1">
      <alignment vertical="center"/>
    </xf>
    <xf numFmtId="5" fontId="5" fillId="2" borderId="13" xfId="0" applyNumberFormat="1" applyFont="1" applyFill="1" applyBorder="1" applyAlignment="1">
      <alignment horizontal="center"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9"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wrapText="1"/>
    </xf>
    <xf numFmtId="0" fontId="5" fillId="2" borderId="0" xfId="0" applyFont="1" applyFill="1" applyBorder="1" applyAlignment="1">
      <alignment horizontal="center" vertical="center"/>
    </xf>
    <xf numFmtId="165" fontId="5" fillId="2" borderId="0" xfId="0" applyNumberFormat="1" applyFont="1" applyFill="1" applyBorder="1" applyAlignment="1">
      <alignment horizontal="center" vertical="center"/>
    </xf>
    <xf numFmtId="6" fontId="4" fillId="6" borderId="0" xfId="0" applyNumberFormat="1" applyFont="1" applyFill="1" applyBorder="1" applyAlignment="1">
      <alignment horizontal="center" vertical="center"/>
    </xf>
    <xf numFmtId="0" fontId="5" fillId="6" borderId="4" xfId="0" applyFont="1" applyFill="1" applyBorder="1" applyAlignment="1">
      <alignment vertical="center"/>
    </xf>
    <xf numFmtId="0" fontId="5" fillId="6" borderId="8" xfId="0" applyFont="1" applyFill="1" applyBorder="1" applyAlignment="1">
      <alignment vertical="center"/>
    </xf>
    <xf numFmtId="0" fontId="0" fillId="0" borderId="1" xfId="0" applyBorder="1" applyAlignment="1">
      <alignment vertical="center"/>
    </xf>
    <xf numFmtId="37" fontId="0" fillId="0" borderId="0" xfId="0" applyNumberFormat="1" applyAlignment="1">
      <alignment vertical="center"/>
    </xf>
    <xf numFmtId="164" fontId="0" fillId="0" borderId="0" xfId="0" applyNumberFormat="1" applyAlignment="1">
      <alignment vertical="center"/>
    </xf>
    <xf numFmtId="0" fontId="3" fillId="2" borderId="0" xfId="0" applyFont="1" applyFill="1" applyBorder="1" applyAlignment="1">
      <alignment vertical="center"/>
    </xf>
    <xf numFmtId="39" fontId="4" fillId="2" borderId="0" xfId="2" applyNumberFormat="1" applyFont="1" applyFill="1" applyBorder="1" applyAlignment="1">
      <alignment horizontal="center" vertical="center"/>
    </xf>
    <xf numFmtId="0" fontId="5" fillId="2" borderId="3" xfId="0" applyFont="1" applyFill="1" applyBorder="1" applyAlignment="1">
      <alignment horizontal="right" vertical="center"/>
    </xf>
    <xf numFmtId="0" fontId="18" fillId="8" borderId="2" xfId="0" applyFont="1" applyFill="1" applyBorder="1" applyAlignment="1">
      <alignment horizontal="center" vertical="center"/>
    </xf>
    <xf numFmtId="0" fontId="5" fillId="6" borderId="0" xfId="0" applyFont="1" applyFill="1" applyBorder="1" applyAlignment="1">
      <alignment horizontal="center" vertical="center"/>
    </xf>
    <xf numFmtId="0" fontId="0" fillId="2" borderId="9" xfId="0" applyFill="1" applyBorder="1" applyAlignment="1">
      <alignment vertical="center"/>
    </xf>
    <xf numFmtId="0" fontId="15" fillId="2" borderId="0" xfId="0" applyFont="1" applyFill="1" applyBorder="1" applyAlignment="1">
      <alignment horizontal="right" vertical="center"/>
    </xf>
    <xf numFmtId="8" fontId="0" fillId="0" borderId="0" xfId="0" applyNumberFormat="1" applyAlignment="1">
      <alignment vertical="center"/>
    </xf>
    <xf numFmtId="165" fontId="5" fillId="2" borderId="9" xfId="0" applyNumberFormat="1" applyFont="1" applyFill="1" applyBorder="1" applyAlignment="1">
      <alignment horizontal="center" vertical="center"/>
    </xf>
    <xf numFmtId="6" fontId="0" fillId="0" borderId="0" xfId="0" applyNumberFormat="1" applyAlignment="1">
      <alignment vertical="center"/>
    </xf>
    <xf numFmtId="165" fontId="5" fillId="6" borderId="0" xfId="0" applyNumberFormat="1" applyFont="1" applyFill="1" applyBorder="1" applyAlignment="1">
      <alignment horizontal="center" vertical="center"/>
    </xf>
    <xf numFmtId="6" fontId="4" fillId="0" borderId="0" xfId="0" applyNumberFormat="1" applyFont="1" applyFill="1" applyBorder="1" applyAlignment="1">
      <alignment horizontal="center" vertical="center"/>
    </xf>
    <xf numFmtId="6" fontId="0" fillId="6" borderId="0" xfId="0" applyNumberFormat="1" applyFill="1" applyBorder="1" applyAlignment="1">
      <alignment vertical="center"/>
    </xf>
    <xf numFmtId="0" fontId="5" fillId="6" borderId="0" xfId="0" applyFont="1" applyFill="1" applyBorder="1" applyAlignment="1">
      <alignment vertical="center"/>
    </xf>
    <xf numFmtId="0" fontId="0" fillId="0" borderId="0" xfId="0" applyBorder="1" applyAlignment="1">
      <alignment vertical="center"/>
    </xf>
    <xf numFmtId="166" fontId="0" fillId="0" borderId="0" xfId="0" applyNumberFormat="1" applyBorder="1" applyAlignment="1">
      <alignment vertical="center"/>
    </xf>
    <xf numFmtId="167" fontId="0" fillId="0" borderId="0" xfId="0" applyNumberFormat="1" applyAlignment="1">
      <alignment vertical="center"/>
    </xf>
    <xf numFmtId="0" fontId="0" fillId="0" borderId="0" xfId="0" applyBorder="1" applyAlignment="1">
      <alignment horizontal="center" vertical="center"/>
    </xf>
    <xf numFmtId="165" fontId="5" fillId="2" borderId="0" xfId="0" applyNumberFormat="1" applyFont="1" applyFill="1" applyBorder="1" applyAlignment="1">
      <alignment vertical="center"/>
    </xf>
    <xf numFmtId="165" fontId="5" fillId="2" borderId="9" xfId="0" applyNumberFormat="1" applyFont="1"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center" vertical="center"/>
    </xf>
    <xf numFmtId="165" fontId="0" fillId="2" borderId="8" xfId="0" applyNumberFormat="1" applyFill="1" applyBorder="1" applyAlignment="1">
      <alignment horizontal="center" vertical="center"/>
    </xf>
    <xf numFmtId="0" fontId="0" fillId="2" borderId="10" xfId="0" applyFill="1" applyBorder="1" applyAlignment="1">
      <alignment vertical="center"/>
    </xf>
    <xf numFmtId="165" fontId="0" fillId="2" borderId="0" xfId="0" applyNumberFormat="1" applyFill="1" applyBorder="1" applyAlignment="1">
      <alignment horizontal="center" vertical="center"/>
    </xf>
    <xf numFmtId="0" fontId="0" fillId="6" borderId="0" xfId="0" applyFill="1" applyBorder="1" applyAlignment="1">
      <alignment vertical="center"/>
    </xf>
    <xf numFmtId="0" fontId="0" fillId="6" borderId="0" xfId="0" applyFill="1" applyBorder="1" applyAlignment="1">
      <alignment horizontal="right" vertical="center"/>
    </xf>
    <xf numFmtId="0" fontId="5" fillId="6" borderId="0" xfId="0" applyFont="1" applyFill="1" applyBorder="1" applyAlignment="1">
      <alignment horizontal="right" vertical="center"/>
    </xf>
    <xf numFmtId="0" fontId="7" fillId="6" borderId="0" xfId="0" applyFont="1" applyFill="1" applyBorder="1" applyAlignment="1">
      <alignment horizontal="right" vertical="center"/>
    </xf>
    <xf numFmtId="0" fontId="4" fillId="6" borderId="3" xfId="0" applyFont="1" applyFill="1" applyBorder="1" applyAlignment="1">
      <alignment vertical="center"/>
    </xf>
    <xf numFmtId="39" fontId="10" fillId="6" borderId="9" xfId="2" applyNumberFormat="1" applyFont="1" applyFill="1" applyBorder="1" applyAlignment="1">
      <alignment horizontal="center" vertical="center"/>
    </xf>
    <xf numFmtId="0" fontId="4" fillId="6" borderId="0" xfId="0" applyFont="1" applyFill="1" applyBorder="1" applyAlignment="1">
      <alignment horizontal="right" vertical="center"/>
    </xf>
    <xf numFmtId="0" fontId="1" fillId="0" borderId="0" xfId="0" applyFont="1" applyAlignment="1">
      <alignment vertical="center"/>
    </xf>
    <xf numFmtId="0" fontId="19" fillId="8" borderId="2" xfId="0" applyFont="1" applyFill="1" applyBorder="1" applyAlignment="1">
      <alignment horizontal="center" vertical="center"/>
    </xf>
    <xf numFmtId="0" fontId="2" fillId="6" borderId="0" xfId="0" applyFont="1" applyFill="1"/>
    <xf numFmtId="0" fontId="2" fillId="6" borderId="0" xfId="0" applyFont="1" applyFill="1" applyAlignment="1">
      <alignment wrapText="1"/>
    </xf>
    <xf numFmtId="0" fontId="2" fillId="6" borderId="0" xfId="0" applyFont="1" applyFill="1" applyAlignment="1">
      <alignment horizontal="center"/>
    </xf>
    <xf numFmtId="0" fontId="2" fillId="0" borderId="0" xfId="0" applyFont="1" applyAlignment="1">
      <alignment horizontal="center"/>
    </xf>
    <xf numFmtId="0" fontId="2" fillId="0" borderId="0" xfId="0" applyFont="1"/>
    <xf numFmtId="0" fontId="21" fillId="6" borderId="0" xfId="0" applyFont="1" applyFill="1" applyAlignment="1">
      <alignment horizontal="center" vertical="center" wrapText="1"/>
    </xf>
    <xf numFmtId="0" fontId="21" fillId="0" borderId="0" xfId="0" applyFont="1" applyAlignment="1">
      <alignment horizontal="center" vertical="center" wrapText="1"/>
    </xf>
    <xf numFmtId="0" fontId="2" fillId="6" borderId="0" xfId="0" applyFont="1" applyFill="1" applyAlignment="1">
      <alignment horizontal="center" vertical="center"/>
    </xf>
    <xf numFmtId="0" fontId="24" fillId="6" borderId="12" xfId="0" applyFont="1" applyFill="1" applyBorder="1" applyAlignment="1">
      <alignment horizontal="center" vertical="center"/>
    </xf>
    <xf numFmtId="0" fontId="25" fillId="6" borderId="0" xfId="0" applyFont="1" applyFill="1" applyAlignment="1">
      <alignment horizontal="center" vertical="center"/>
    </xf>
    <xf numFmtId="3" fontId="25" fillId="6" borderId="0" xfId="0" applyNumberFormat="1" applyFont="1" applyFill="1" applyAlignment="1">
      <alignment horizontal="center" vertical="center"/>
    </xf>
    <xf numFmtId="0" fontId="26" fillId="0" borderId="2" xfId="0" applyFont="1" applyBorder="1" applyAlignment="1">
      <alignment horizontal="center" vertical="center"/>
    </xf>
    <xf numFmtId="0" fontId="2" fillId="0" borderId="0" xfId="0" applyFont="1" applyAlignment="1">
      <alignment horizontal="center" vertical="center"/>
    </xf>
    <xf numFmtId="7" fontId="2" fillId="0" borderId="0" xfId="0" applyNumberFormat="1" applyFont="1" applyAlignment="1">
      <alignment horizontal="center" vertical="center"/>
    </xf>
    <xf numFmtId="0" fontId="27" fillId="6" borderId="0" xfId="0" applyFont="1" applyFill="1" applyAlignment="1">
      <alignment horizontal="center" vertical="center"/>
    </xf>
    <xf numFmtId="0" fontId="25" fillId="6" borderId="0" xfId="0" applyFont="1" applyFill="1" applyAlignment="1">
      <alignment horizontal="left" vertical="center"/>
    </xf>
    <xf numFmtId="3" fontId="25" fillId="6" borderId="0" xfId="1" applyNumberFormat="1" applyFont="1" applyFill="1" applyAlignment="1">
      <alignment horizontal="center" vertical="center"/>
    </xf>
    <xf numFmtId="0" fontId="21" fillId="0" borderId="2" xfId="0" applyFont="1" applyBorder="1" applyAlignment="1">
      <alignment horizontal="center" vertical="center"/>
    </xf>
    <xf numFmtId="0" fontId="25"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1" fillId="3" borderId="0" xfId="0" applyFont="1" applyFill="1" applyBorder="1" applyAlignment="1">
      <alignment horizontal="center"/>
    </xf>
    <xf numFmtId="0" fontId="21" fillId="3" borderId="9" xfId="0" applyFont="1" applyFill="1" applyBorder="1" applyAlignment="1">
      <alignment horizontal="center"/>
    </xf>
    <xf numFmtId="0" fontId="2" fillId="6" borderId="0" xfId="0" applyFont="1" applyFill="1" applyBorder="1" applyAlignment="1">
      <alignment horizontal="center"/>
    </xf>
    <xf numFmtId="0" fontId="21" fillId="3" borderId="12" xfId="0" applyFont="1" applyFill="1" applyBorder="1" applyAlignment="1">
      <alignment horizontal="center"/>
    </xf>
    <xf numFmtId="0" fontId="21" fillId="3" borderId="18" xfId="0" applyFont="1" applyFill="1" applyBorder="1" applyAlignment="1">
      <alignment horizontal="center"/>
    </xf>
    <xf numFmtId="0" fontId="21" fillId="3" borderId="6" xfId="0" applyFont="1" applyFill="1" applyBorder="1" applyAlignment="1">
      <alignment horizontal="center"/>
    </xf>
    <xf numFmtId="0" fontId="21" fillId="3" borderId="7" xfId="0" applyFont="1" applyFill="1" applyBorder="1" applyAlignment="1">
      <alignment horizontal="center" wrapText="1"/>
    </xf>
    <xf numFmtId="0" fontId="2" fillId="2" borderId="6" xfId="0" applyFont="1" applyFill="1" applyBorder="1" applyAlignment="1">
      <alignment horizontal="center"/>
    </xf>
    <xf numFmtId="3" fontId="2" fillId="2" borderId="7" xfId="0" applyNumberFormat="1" applyFont="1" applyFill="1" applyBorder="1" applyAlignment="1">
      <alignment horizontal="center" wrapText="1"/>
    </xf>
    <xf numFmtId="0" fontId="2" fillId="2" borderId="0" xfId="0" applyFont="1" applyFill="1" applyBorder="1" applyAlignment="1">
      <alignment horizontal="center" vertical="center"/>
    </xf>
    <xf numFmtId="3" fontId="2" fillId="2" borderId="9" xfId="0" applyNumberFormat="1" applyFont="1" applyFill="1" applyBorder="1" applyAlignment="1">
      <alignment horizontal="center" wrapText="1"/>
    </xf>
    <xf numFmtId="0" fontId="2" fillId="6" borderId="0" xfId="0" applyFont="1" applyFill="1" applyBorder="1" applyAlignment="1">
      <alignment horizontal="center" vertical="center"/>
    </xf>
    <xf numFmtId="0" fontId="2" fillId="0" borderId="0" xfId="0" applyFont="1" applyAlignment="1">
      <alignment wrapText="1"/>
    </xf>
    <xf numFmtId="0" fontId="23" fillId="6" borderId="0" xfId="0" applyFont="1" applyFill="1" applyBorder="1" applyAlignment="1">
      <alignment horizontal="left" vertical="center"/>
    </xf>
    <xf numFmtId="0" fontId="2" fillId="2" borderId="8" xfId="0" applyFont="1" applyFill="1" applyBorder="1" applyAlignment="1">
      <alignment horizontal="center" vertical="center"/>
    </xf>
    <xf numFmtId="3" fontId="2" fillId="2" borderId="10" xfId="0" applyNumberFormat="1" applyFont="1" applyFill="1" applyBorder="1" applyAlignment="1">
      <alignment horizontal="center" wrapText="1"/>
    </xf>
    <xf numFmtId="0" fontId="2" fillId="6" borderId="21" xfId="0" applyFont="1" applyFill="1" applyBorder="1" applyAlignment="1">
      <alignment wrapText="1"/>
    </xf>
    <xf numFmtId="0" fontId="2" fillId="0" borderId="21" xfId="0" applyFont="1" applyBorder="1" applyAlignment="1">
      <alignment wrapText="1"/>
    </xf>
    <xf numFmtId="0" fontId="2" fillId="6" borderId="21" xfId="0" applyFont="1" applyFill="1" applyBorder="1"/>
    <xf numFmtId="0" fontId="2" fillId="6" borderId="20" xfId="0" applyFont="1" applyFill="1" applyBorder="1" applyAlignment="1">
      <alignment wrapText="1"/>
    </xf>
    <xf numFmtId="0" fontId="2" fillId="0" borderId="20" xfId="0" applyFont="1" applyBorder="1" applyAlignment="1">
      <alignment wrapText="1"/>
    </xf>
    <xf numFmtId="0" fontId="2" fillId="6" borderId="20" xfId="0" applyFont="1" applyFill="1" applyBorder="1"/>
    <xf numFmtId="0" fontId="28" fillId="6" borderId="12" xfId="0" applyFont="1" applyFill="1" applyBorder="1" applyAlignment="1">
      <alignment horizontal="center" vertical="center"/>
    </xf>
    <xf numFmtId="0" fontId="2" fillId="6" borderId="22" xfId="0" applyFont="1" applyFill="1" applyBorder="1" applyAlignment="1">
      <alignment wrapText="1"/>
    </xf>
    <xf numFmtId="0" fontId="2" fillId="0" borderId="22" xfId="0" applyFont="1" applyBorder="1" applyAlignment="1">
      <alignment wrapText="1"/>
    </xf>
    <xf numFmtId="0" fontId="2" fillId="6" borderId="22" xfId="0" applyFont="1" applyFill="1" applyBorder="1"/>
    <xf numFmtId="0" fontId="2" fillId="6" borderId="27" xfId="0" applyFont="1" applyFill="1" applyBorder="1"/>
    <xf numFmtId="0" fontId="21" fillId="6" borderId="26"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 fillId="2" borderId="28" xfId="0" applyFont="1" applyFill="1" applyBorder="1" applyAlignment="1">
      <alignment horizontal="center" vertical="center"/>
    </xf>
    <xf numFmtId="0" fontId="21" fillId="5" borderId="30" xfId="0" applyFont="1" applyFill="1" applyBorder="1" applyAlignment="1" applyProtection="1">
      <alignment horizontal="center" vertical="center"/>
      <protection locked="0"/>
    </xf>
    <xf numFmtId="164" fontId="21" fillId="5" borderId="30" xfId="0" applyNumberFormat="1" applyFont="1" applyFill="1" applyBorder="1" applyAlignment="1" applyProtection="1">
      <alignment horizontal="center" vertical="center"/>
      <protection locked="0"/>
    </xf>
    <xf numFmtId="7" fontId="21" fillId="5" borderId="30" xfId="2" applyNumberFormat="1" applyFont="1" applyFill="1" applyBorder="1" applyAlignment="1" applyProtection="1">
      <alignment horizontal="center" vertical="center"/>
      <protection locked="0"/>
    </xf>
    <xf numFmtId="2" fontId="21" fillId="5" borderId="30" xfId="0" applyNumberFormat="1" applyFont="1" applyFill="1" applyBorder="1" applyAlignment="1" applyProtection="1">
      <alignment horizontal="center" vertical="center"/>
      <protection locked="0"/>
    </xf>
    <xf numFmtId="0" fontId="21" fillId="3" borderId="26" xfId="0" applyFont="1" applyFill="1" applyBorder="1" applyAlignment="1">
      <alignment horizontal="center"/>
    </xf>
    <xf numFmtId="0" fontId="2" fillId="0" borderId="0" xfId="0" applyFont="1" applyBorder="1" applyAlignment="1">
      <alignment wrapText="1"/>
    </xf>
    <xf numFmtId="0" fontId="2" fillId="6" borderId="0" xfId="0" applyFont="1" applyFill="1" applyBorder="1" applyAlignment="1">
      <alignment horizontal="left" vertical="center"/>
    </xf>
    <xf numFmtId="0" fontId="2" fillId="6" borderId="0" xfId="0" applyFont="1" applyFill="1" applyBorder="1" applyAlignment="1"/>
    <xf numFmtId="0" fontId="23" fillId="6" borderId="32" xfId="0" applyFont="1" applyFill="1" applyBorder="1" applyAlignment="1">
      <alignment horizontal="left" vertical="center"/>
    </xf>
    <xf numFmtId="0" fontId="2" fillId="6" borderId="32" xfId="0" applyFont="1" applyFill="1" applyBorder="1" applyAlignment="1">
      <alignment horizontal="left" vertical="center"/>
    </xf>
    <xf numFmtId="0" fontId="2" fillId="6" borderId="23" xfId="0" applyFont="1" applyFill="1" applyBorder="1" applyAlignment="1">
      <alignment wrapText="1"/>
    </xf>
    <xf numFmtId="0" fontId="2" fillId="6" borderId="24" xfId="0" applyFont="1" applyFill="1" applyBorder="1" applyAlignment="1">
      <alignment wrapText="1"/>
    </xf>
    <xf numFmtId="0" fontId="2" fillId="6" borderId="25" xfId="0" applyFont="1" applyFill="1" applyBorder="1"/>
    <xf numFmtId="0" fontId="2" fillId="6" borderId="33" xfId="0" applyFont="1" applyFill="1" applyBorder="1" applyAlignment="1">
      <alignment horizontal="left" vertical="center"/>
    </xf>
    <xf numFmtId="0" fontId="2" fillId="6" borderId="34" xfId="0" applyFont="1" applyFill="1" applyBorder="1" applyAlignment="1">
      <alignment horizontal="left" vertical="center"/>
    </xf>
    <xf numFmtId="0" fontId="2" fillId="6" borderId="35" xfId="0" applyFont="1" applyFill="1" applyBorder="1" applyAlignment="1">
      <alignment wrapText="1"/>
    </xf>
    <xf numFmtId="0" fontId="2" fillId="0" borderId="35" xfId="0" applyFont="1" applyBorder="1" applyAlignment="1">
      <alignment wrapText="1"/>
    </xf>
    <xf numFmtId="0" fontId="2" fillId="6" borderId="36" xfId="0" applyFont="1" applyFill="1" applyBorder="1"/>
    <xf numFmtId="0" fontId="5" fillId="2" borderId="3" xfId="0" applyFont="1" applyFill="1" applyBorder="1" applyAlignment="1">
      <alignment vertical="center"/>
    </xf>
    <xf numFmtId="0" fontId="2" fillId="2" borderId="18" xfId="0" applyFont="1" applyFill="1" applyBorder="1" applyAlignment="1">
      <alignment horizontal="center"/>
    </xf>
    <xf numFmtId="0" fontId="2" fillId="2" borderId="13" xfId="0" applyFont="1" applyFill="1" applyBorder="1" applyAlignment="1">
      <alignment horizontal="center" vertical="center"/>
    </xf>
    <xf numFmtId="0" fontId="2" fillId="2" borderId="19" xfId="0" applyFont="1" applyFill="1" applyBorder="1" applyAlignment="1">
      <alignment horizontal="center" vertical="center"/>
    </xf>
    <xf numFmtId="5" fontId="0" fillId="0" borderId="0" xfId="0" applyNumberFormat="1" applyAlignment="1">
      <alignment vertical="center"/>
    </xf>
    <xf numFmtId="165" fontId="0" fillId="0" borderId="0" xfId="0" applyNumberFormat="1" applyAlignment="1">
      <alignment vertical="center"/>
    </xf>
    <xf numFmtId="0" fontId="5" fillId="2" borderId="0" xfId="0" applyFont="1" applyFill="1" applyBorder="1" applyAlignment="1">
      <alignment horizontal="center" vertical="center"/>
    </xf>
    <xf numFmtId="0" fontId="21" fillId="3" borderId="2" xfId="0" applyFont="1" applyFill="1" applyBorder="1" applyAlignment="1">
      <alignment horizontal="center" wrapText="1"/>
    </xf>
    <xf numFmtId="0" fontId="21" fillId="6" borderId="2" xfId="0" applyFont="1" applyFill="1" applyBorder="1" applyAlignment="1">
      <alignment horizontal="center" vertical="center"/>
    </xf>
    <xf numFmtId="1" fontId="2" fillId="6" borderId="2" xfId="0" applyNumberFormat="1" applyFont="1" applyFill="1" applyBorder="1" applyAlignment="1">
      <alignment horizontal="center" vertical="center"/>
    </xf>
    <xf numFmtId="1" fontId="2" fillId="6" borderId="12" xfId="0" applyNumberFormat="1" applyFont="1" applyFill="1" applyBorder="1" applyAlignment="1">
      <alignment horizontal="center" vertical="center"/>
    </xf>
    <xf numFmtId="0" fontId="21" fillId="2" borderId="37" xfId="0" applyFont="1" applyFill="1" applyBorder="1" applyAlignment="1">
      <alignment horizontal="center"/>
    </xf>
    <xf numFmtId="49" fontId="2" fillId="6" borderId="29" xfId="0" applyNumberFormat="1" applyFont="1" applyFill="1" applyBorder="1" applyAlignment="1">
      <alignment horizontal="center" vertical="center"/>
    </xf>
    <xf numFmtId="0" fontId="21" fillId="2" borderId="26" xfId="0" applyFont="1" applyFill="1" applyBorder="1" applyAlignment="1">
      <alignment horizontal="center" vertical="center"/>
    </xf>
    <xf numFmtId="0" fontId="21" fillId="2" borderId="31" xfId="0" applyFont="1" applyFill="1" applyBorder="1" applyAlignment="1">
      <alignment horizontal="center" vertical="center"/>
    </xf>
    <xf numFmtId="2" fontId="27" fillId="6" borderId="0" xfId="0" applyNumberFormat="1" applyFont="1" applyFill="1" applyAlignment="1">
      <alignment horizontal="center" vertical="center"/>
    </xf>
    <xf numFmtId="4" fontId="31" fillId="10" borderId="30" xfId="0" applyNumberFormat="1" applyFont="1" applyFill="1" applyBorder="1" applyAlignment="1" applyProtection="1">
      <alignment horizontal="center" vertical="center"/>
      <protection locked="0"/>
    </xf>
    <xf numFmtId="4" fontId="31" fillId="10" borderId="5" xfId="0" applyNumberFormat="1" applyFont="1" applyFill="1" applyBorder="1" applyAlignment="1" applyProtection="1">
      <alignment horizontal="center" vertical="center"/>
      <protection locked="0"/>
    </xf>
    <xf numFmtId="0" fontId="30" fillId="6" borderId="2" xfId="0" applyFont="1" applyFill="1" applyBorder="1" applyAlignment="1">
      <alignment horizontal="center" vertical="center" wrapText="1"/>
    </xf>
    <xf numFmtId="0" fontId="0" fillId="6" borderId="2" xfId="0" applyFill="1" applyBorder="1" applyAlignment="1">
      <alignment horizontal="center" wrapText="1"/>
    </xf>
    <xf numFmtId="0" fontId="0" fillId="6" borderId="2" xfId="0" applyFill="1" applyBorder="1" applyAlignment="1">
      <alignment horizontal="center"/>
    </xf>
    <xf numFmtId="3" fontId="0" fillId="6" borderId="2" xfId="0" applyNumberFormat="1" applyFill="1" applyBorder="1" applyAlignment="1">
      <alignment horizontal="center"/>
    </xf>
    <xf numFmtId="0" fontId="0" fillId="6" borderId="12" xfId="0" applyFill="1" applyBorder="1" applyAlignment="1">
      <alignment horizontal="center" wrapText="1"/>
    </xf>
    <xf numFmtId="0" fontId="0" fillId="6" borderId="12" xfId="0" applyFill="1" applyBorder="1" applyAlignment="1">
      <alignment horizontal="center"/>
    </xf>
    <xf numFmtId="0" fontId="5" fillId="2" borderId="3" xfId="0" applyFont="1" applyFill="1" applyBorder="1" applyAlignment="1">
      <alignment vertical="center"/>
    </xf>
    <xf numFmtId="0" fontId="2" fillId="2" borderId="14"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12" xfId="0" applyFont="1" applyFill="1" applyBorder="1" applyAlignment="1">
      <alignment horizontal="left" vertical="center" indent="1"/>
    </xf>
    <xf numFmtId="0" fontId="33" fillId="11" borderId="14" xfId="0" applyFont="1" applyFill="1" applyBorder="1" applyAlignment="1">
      <alignment horizontal="left" vertical="center" indent="4"/>
    </xf>
    <xf numFmtId="0" fontId="33" fillId="11" borderId="5" xfId="0" applyFont="1" applyFill="1" applyBorder="1" applyAlignment="1">
      <alignment horizontal="left" vertical="center" indent="4"/>
    </xf>
    <xf numFmtId="0" fontId="33" fillId="11" borderId="12" xfId="0" applyFont="1" applyFill="1" applyBorder="1" applyAlignment="1">
      <alignment horizontal="left" vertical="center" indent="4"/>
    </xf>
    <xf numFmtId="0" fontId="34" fillId="10" borderId="30" xfId="0" applyFont="1" applyFill="1" applyBorder="1" applyAlignment="1" applyProtection="1">
      <alignment horizontal="center" vertical="center"/>
      <protection locked="0"/>
    </xf>
    <xf numFmtId="4" fontId="34" fillId="10" borderId="30" xfId="0" applyNumberFormat="1" applyFont="1" applyFill="1" applyBorder="1" applyAlignment="1" applyProtection="1">
      <alignment horizontal="center" vertical="center"/>
      <protection locked="0"/>
    </xf>
    <xf numFmtId="3" fontId="34" fillId="10" borderId="30" xfId="0" applyNumberFormat="1" applyFont="1" applyFill="1" applyBorder="1" applyAlignment="1" applyProtection="1">
      <alignment horizontal="center" vertical="center"/>
      <protection locked="0"/>
    </xf>
    <xf numFmtId="9" fontId="21" fillId="5" borderId="30" xfId="2" applyNumberFormat="1" applyFont="1" applyFill="1" applyBorder="1" applyAlignment="1" applyProtection="1">
      <alignment horizontal="center" vertical="center"/>
      <protection locked="0"/>
    </xf>
    <xf numFmtId="0" fontId="33" fillId="6" borderId="14" xfId="0" applyFont="1" applyFill="1" applyBorder="1" applyAlignment="1">
      <alignment horizontal="left" vertical="center" indent="4"/>
    </xf>
    <xf numFmtId="0" fontId="33" fillId="6" borderId="5" xfId="0" applyFont="1" applyFill="1" applyBorder="1" applyAlignment="1">
      <alignment horizontal="left" vertical="center" indent="4"/>
    </xf>
    <xf numFmtId="0" fontId="33" fillId="6" borderId="12" xfId="0" applyFont="1" applyFill="1" applyBorder="1" applyAlignment="1">
      <alignment horizontal="left" vertical="center" indent="4"/>
    </xf>
    <xf numFmtId="0" fontId="5" fillId="2" borderId="3" xfId="0" applyFont="1" applyFill="1" applyBorder="1" applyAlignment="1">
      <alignment vertical="center"/>
    </xf>
    <xf numFmtId="0" fontId="21" fillId="6" borderId="0" xfId="0" applyFont="1" applyFill="1" applyBorder="1" applyAlignment="1">
      <alignment horizontal="center" vertical="center"/>
    </xf>
    <xf numFmtId="1" fontId="2" fillId="6" borderId="0" xfId="0" applyNumberFormat="1" applyFont="1" applyFill="1" applyBorder="1" applyAlignment="1">
      <alignment horizontal="center" vertical="center"/>
    </xf>
    <xf numFmtId="1" fontId="2" fillId="6" borderId="0" xfId="0" applyNumberFormat="1" applyFont="1" applyFill="1" applyBorder="1" applyAlignment="1">
      <alignment horizontal="center"/>
    </xf>
    <xf numFmtId="0" fontId="2" fillId="6" borderId="27" xfId="0" applyFont="1" applyFill="1" applyBorder="1" applyAlignment="1">
      <alignment horizontal="center"/>
    </xf>
    <xf numFmtId="0" fontId="0" fillId="6" borderId="0" xfId="0" applyFill="1" applyAlignment="1">
      <alignment vertical="center"/>
    </xf>
    <xf numFmtId="165" fontId="5" fillId="6" borderId="9" xfId="0" applyNumberFormat="1" applyFont="1" applyFill="1" applyBorder="1" applyAlignment="1">
      <alignment horizontal="center" vertical="center"/>
    </xf>
    <xf numFmtId="0" fontId="2" fillId="0" borderId="26" xfId="0" applyFont="1" applyBorder="1"/>
    <xf numFmtId="0" fontId="2" fillId="0" borderId="0" xfId="0" applyFont="1" applyBorder="1"/>
    <xf numFmtId="0" fontId="2" fillId="6" borderId="14" xfId="0" applyFont="1" applyFill="1" applyBorder="1" applyAlignment="1">
      <alignment horizontal="left" vertical="center" indent="1"/>
    </xf>
    <xf numFmtId="0" fontId="2" fillId="6" borderId="5" xfId="0" applyFont="1" applyFill="1" applyBorder="1" applyAlignment="1">
      <alignment horizontal="left" vertical="center" indent="1"/>
    </xf>
    <xf numFmtId="0" fontId="2" fillId="6" borderId="12" xfId="0" applyFont="1" applyFill="1" applyBorder="1" applyAlignment="1">
      <alignment horizontal="left" vertical="center" indent="1"/>
    </xf>
    <xf numFmtId="0" fontId="22" fillId="4" borderId="18" xfId="0" applyFont="1" applyFill="1" applyBorder="1" applyAlignment="1">
      <alignment horizontal="center" wrapText="1"/>
    </xf>
    <xf numFmtId="0" fontId="2" fillId="6" borderId="26" xfId="0" applyFont="1" applyFill="1" applyBorder="1" applyAlignment="1">
      <alignment wrapText="1"/>
    </xf>
    <xf numFmtId="0" fontId="2" fillId="6" borderId="0" xfId="0" applyFont="1" applyFill="1" applyBorder="1" applyAlignment="1">
      <alignment wrapText="1"/>
    </xf>
    <xf numFmtId="0" fontId="21" fillId="3" borderId="2" xfId="0" applyFont="1" applyFill="1" applyBorder="1" applyAlignment="1">
      <alignment horizontal="center"/>
    </xf>
    <xf numFmtId="0" fontId="21" fillId="3" borderId="29" xfId="0" applyFont="1" applyFill="1" applyBorder="1" applyAlignment="1">
      <alignment horizontal="center"/>
    </xf>
    <xf numFmtId="0" fontId="5" fillId="2" borderId="3" xfId="0" applyFont="1" applyFill="1" applyBorder="1" applyAlignment="1">
      <alignment vertical="center"/>
    </xf>
    <xf numFmtId="0" fontId="5" fillId="2" borderId="0" xfId="0" applyFont="1" applyFill="1" applyBorder="1" applyAlignment="1">
      <alignment vertical="center"/>
    </xf>
    <xf numFmtId="9" fontId="21" fillId="3" borderId="27" xfId="0" applyNumberFormat="1" applyFont="1" applyFill="1" applyBorder="1" applyAlignment="1">
      <alignment horizontal="center"/>
    </xf>
    <xf numFmtId="49" fontId="2" fillId="6" borderId="27" xfId="0" applyNumberFormat="1" applyFont="1" applyFill="1" applyBorder="1" applyAlignment="1">
      <alignment horizontal="center" vertical="center"/>
    </xf>
    <xf numFmtId="0" fontId="0" fillId="6" borderId="7" xfId="0" applyFill="1" applyBorder="1" applyAlignment="1">
      <alignment horizontal="center"/>
    </xf>
    <xf numFmtId="0" fontId="0" fillId="6" borderId="18" xfId="0" applyFill="1" applyBorder="1" applyAlignment="1">
      <alignment horizontal="center"/>
    </xf>
    <xf numFmtId="3" fontId="0" fillId="6" borderId="18" xfId="0" applyNumberFormat="1" applyFill="1" applyBorder="1" applyAlignment="1">
      <alignment horizontal="center"/>
    </xf>
    <xf numFmtId="0" fontId="0" fillId="6" borderId="0" xfId="0" applyFill="1" applyBorder="1" applyAlignment="1">
      <alignment horizontal="center"/>
    </xf>
    <xf numFmtId="3" fontId="0" fillId="6" borderId="0" xfId="0" applyNumberFormat="1" applyFill="1" applyBorder="1" applyAlignment="1">
      <alignment horizontal="center"/>
    </xf>
    <xf numFmtId="0" fontId="30" fillId="6" borderId="1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2" fillId="2" borderId="2" xfId="0" applyFont="1" applyFill="1" applyBorder="1" applyAlignment="1">
      <alignment horizontal="left" vertical="center" indent="1"/>
    </xf>
    <xf numFmtId="0" fontId="21" fillId="0" borderId="26" xfId="0" applyFont="1" applyBorder="1" applyAlignment="1">
      <alignment horizontal="center" vertical="center"/>
    </xf>
    <xf numFmtId="0" fontId="21" fillId="0" borderId="0" xfId="0" applyFont="1" applyBorder="1" applyAlignment="1">
      <alignment horizontal="center" vertical="center"/>
    </xf>
    <xf numFmtId="0" fontId="21" fillId="0" borderId="27" xfId="0" applyFont="1" applyBorder="1" applyAlignment="1">
      <alignment horizontal="center" vertical="center"/>
    </xf>
    <xf numFmtId="0" fontId="33" fillId="11" borderId="14" xfId="0" applyFont="1" applyFill="1" applyBorder="1" applyAlignment="1">
      <alignment horizontal="left" vertical="center" indent="3"/>
    </xf>
    <xf numFmtId="0" fontId="33" fillId="11" borderId="5" xfId="0" applyFont="1" applyFill="1" applyBorder="1" applyAlignment="1">
      <alignment horizontal="left" vertical="center" indent="3"/>
    </xf>
    <xf numFmtId="0" fontId="33" fillId="11" borderId="12" xfId="0" applyFont="1" applyFill="1" applyBorder="1" applyAlignment="1">
      <alignment horizontal="left" vertical="center" indent="3"/>
    </xf>
    <xf numFmtId="0" fontId="21" fillId="3" borderId="31" xfId="0" applyFont="1" applyFill="1" applyBorder="1" applyAlignment="1">
      <alignment horizontal="center"/>
    </xf>
    <xf numFmtId="0" fontId="21" fillId="3" borderId="10" xfId="0" applyFont="1" applyFill="1" applyBorder="1" applyAlignment="1">
      <alignment horizontal="center"/>
    </xf>
    <xf numFmtId="0" fontId="22" fillId="4" borderId="28" xfId="0" applyFont="1" applyFill="1" applyBorder="1" applyAlignment="1">
      <alignment horizontal="center" wrapText="1"/>
    </xf>
    <xf numFmtId="0" fontId="22" fillId="4" borderId="18" xfId="0" applyFont="1" applyFill="1" applyBorder="1" applyAlignment="1">
      <alignment horizontal="center" wrapText="1"/>
    </xf>
    <xf numFmtId="0" fontId="2" fillId="6" borderId="26" xfId="0" applyFont="1" applyFill="1" applyBorder="1" applyAlignment="1">
      <alignment wrapText="1"/>
    </xf>
    <xf numFmtId="0" fontId="2" fillId="6" borderId="0" xfId="0" applyFont="1" applyFill="1" applyBorder="1" applyAlignment="1">
      <alignment wrapText="1"/>
    </xf>
    <xf numFmtId="0" fontId="2" fillId="6" borderId="27" xfId="0" applyFont="1" applyFill="1" applyBorder="1" applyAlignment="1">
      <alignment wrapText="1"/>
    </xf>
    <xf numFmtId="0" fontId="2" fillId="6" borderId="2" xfId="0" applyFont="1" applyFill="1" applyBorder="1" applyAlignment="1">
      <alignment horizontal="left" vertical="center" indent="1"/>
    </xf>
    <xf numFmtId="0" fontId="21" fillId="3" borderId="2" xfId="0" applyFont="1" applyFill="1" applyBorder="1" applyAlignment="1">
      <alignment horizontal="center"/>
    </xf>
    <xf numFmtId="0" fontId="21" fillId="3" borderId="29" xfId="0" applyFont="1" applyFill="1" applyBorder="1" applyAlignment="1">
      <alignment horizontal="center"/>
    </xf>
    <xf numFmtId="0" fontId="2" fillId="6" borderId="14" xfId="0" applyFont="1" applyFill="1" applyBorder="1" applyAlignment="1">
      <alignment horizontal="left" vertical="center" indent="1"/>
    </xf>
    <xf numFmtId="0" fontId="2" fillId="6" borderId="5" xfId="0" applyFont="1" applyFill="1" applyBorder="1" applyAlignment="1">
      <alignment horizontal="left" vertical="center" indent="1"/>
    </xf>
    <xf numFmtId="0" fontId="2" fillId="6" borderId="12" xfId="0" applyFont="1" applyFill="1" applyBorder="1" applyAlignment="1">
      <alignment horizontal="left" vertical="center" indent="1"/>
    </xf>
    <xf numFmtId="0" fontId="4" fillId="2" borderId="3" xfId="0" applyFont="1" applyFill="1" applyBorder="1" applyAlignment="1">
      <alignment vertical="center"/>
    </xf>
    <xf numFmtId="0" fontId="4" fillId="2" borderId="0" xfId="0" applyFont="1" applyFill="1" applyBorder="1" applyAlignment="1">
      <alignment vertical="center"/>
    </xf>
    <xf numFmtId="0" fontId="17" fillId="8" borderId="1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12" xfId="0" applyFont="1" applyFill="1" applyBorder="1" applyAlignment="1">
      <alignment horizontal="center" vertical="center"/>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xf>
    <xf numFmtId="165" fontId="5" fillId="2" borderId="2" xfId="1" applyNumberFormat="1" applyFont="1" applyFill="1" applyBorder="1" applyAlignment="1">
      <alignment horizontal="center" vertical="center"/>
    </xf>
    <xf numFmtId="0" fontId="5" fillId="2" borderId="3" xfId="0" applyFont="1" applyFill="1" applyBorder="1" applyAlignment="1">
      <alignment vertical="center"/>
    </xf>
    <xf numFmtId="0" fontId="5" fillId="2" borderId="0" xfId="0" applyFont="1" applyFill="1" applyBorder="1" applyAlignment="1">
      <alignment vertical="center"/>
    </xf>
    <xf numFmtId="164" fontId="5" fillId="2" borderId="14" xfId="1" applyNumberFormat="1" applyFont="1" applyFill="1" applyBorder="1" applyAlignment="1">
      <alignment horizontal="center" vertical="center"/>
    </xf>
    <xf numFmtId="164" fontId="5" fillId="2" borderId="12" xfId="1" applyNumberFormat="1" applyFont="1" applyFill="1" applyBorder="1" applyAlignment="1">
      <alignment horizontal="center" vertical="center"/>
    </xf>
    <xf numFmtId="165" fontId="5" fillId="2" borderId="14"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5" fillId="6" borderId="11" xfId="0" applyFont="1" applyFill="1" applyBorder="1" applyAlignment="1">
      <alignment vertical="center"/>
    </xf>
    <xf numFmtId="0" fontId="5" fillId="6" borderId="6" xfId="0" applyFont="1" applyFill="1" applyBorder="1" applyAlignment="1">
      <alignment vertical="center"/>
    </xf>
    <xf numFmtId="0" fontId="5" fillId="6" borderId="7" xfId="0" applyFont="1" applyFill="1" applyBorder="1" applyAlignment="1">
      <alignment vertical="center"/>
    </xf>
    <xf numFmtId="0" fontId="5" fillId="2" borderId="3" xfId="0" applyFont="1" applyFill="1" applyBorder="1" applyAlignment="1">
      <alignment horizontal="left" vertical="center" wrapText="1"/>
    </xf>
    <xf numFmtId="0" fontId="5" fillId="2" borderId="0" xfId="0" applyFont="1" applyFill="1" applyBorder="1" applyAlignment="1">
      <alignment horizontal="left" vertical="center"/>
    </xf>
    <xf numFmtId="0" fontId="11" fillId="9" borderId="14" xfId="0" applyFont="1" applyFill="1" applyBorder="1" applyAlignment="1">
      <alignment horizontal="center" vertical="center"/>
    </xf>
    <xf numFmtId="0" fontId="11" fillId="9" borderId="5" xfId="0" applyFont="1" applyFill="1" applyBorder="1" applyAlignment="1">
      <alignment horizontal="center" vertical="center"/>
    </xf>
    <xf numFmtId="0" fontId="11" fillId="9" borderId="12" xfId="0" applyFont="1" applyFill="1" applyBorder="1" applyAlignment="1">
      <alignment horizontal="center" vertical="center"/>
    </xf>
    <xf numFmtId="0" fontId="5" fillId="2" borderId="11" xfId="0" applyFont="1" applyFill="1" applyBorder="1" applyAlignment="1">
      <alignment vertical="center"/>
    </xf>
    <xf numFmtId="0" fontId="5" fillId="2" borderId="6" xfId="0" applyFont="1" applyFill="1" applyBorder="1" applyAlignment="1">
      <alignment vertical="center"/>
    </xf>
    <xf numFmtId="37" fontId="5" fillId="2" borderId="2" xfId="1" applyNumberFormat="1" applyFont="1" applyFill="1" applyBorder="1" applyAlignment="1">
      <alignment horizontal="center" vertical="center"/>
    </xf>
    <xf numFmtId="5" fontId="5" fillId="2" borderId="0" xfId="1" applyNumberFormat="1" applyFont="1" applyFill="1" applyBorder="1" applyAlignment="1">
      <alignment horizontal="center" vertical="center"/>
    </xf>
    <xf numFmtId="37" fontId="5" fillId="11" borderId="2" xfId="1" applyNumberFormat="1" applyFont="1" applyFill="1" applyBorder="1" applyAlignment="1">
      <alignment horizontal="center" vertical="center"/>
    </xf>
    <xf numFmtId="5" fontId="5" fillId="11" borderId="2" xfId="1" applyNumberFormat="1" applyFont="1" applyFill="1" applyBorder="1" applyAlignment="1">
      <alignment horizontal="center" vertical="center"/>
    </xf>
    <xf numFmtId="37" fontId="5" fillId="2" borderId="14" xfId="1" applyNumberFormat="1" applyFont="1" applyFill="1" applyBorder="1" applyAlignment="1">
      <alignment horizontal="center" vertical="center"/>
    </xf>
    <xf numFmtId="5" fontId="5" fillId="2" borderId="2" xfId="1" applyNumberFormat="1" applyFont="1" applyFill="1" applyBorder="1" applyAlignment="1">
      <alignment horizontal="center" vertical="center"/>
    </xf>
    <xf numFmtId="5" fontId="4" fillId="11" borderId="14" xfId="2" applyNumberFormat="1" applyFont="1" applyFill="1" applyBorder="1" applyAlignment="1">
      <alignment horizontal="center" vertical="center"/>
    </xf>
    <xf numFmtId="5" fontId="4" fillId="11" borderId="12" xfId="2" applyNumberFormat="1" applyFont="1" applyFill="1" applyBorder="1" applyAlignment="1">
      <alignment horizontal="center" vertical="center"/>
    </xf>
    <xf numFmtId="168" fontId="5" fillId="6" borderId="14" xfId="0" applyNumberFormat="1" applyFont="1" applyFill="1" applyBorder="1" applyAlignment="1">
      <alignment horizontal="center" vertical="center"/>
    </xf>
    <xf numFmtId="168" fontId="5" fillId="6" borderId="12" xfId="0" applyNumberFormat="1" applyFont="1" applyFill="1" applyBorder="1" applyAlignment="1">
      <alignment horizontal="center" vertical="center"/>
    </xf>
    <xf numFmtId="166" fontId="10" fillId="6" borderId="14" xfId="2" applyNumberFormat="1" applyFont="1" applyFill="1" applyBorder="1" applyAlignment="1">
      <alignment horizontal="center" vertical="center"/>
    </xf>
    <xf numFmtId="166" fontId="10" fillId="6" borderId="12" xfId="2" applyNumberFormat="1" applyFont="1" applyFill="1" applyBorder="1" applyAlignment="1">
      <alignment horizontal="center" vertical="center"/>
    </xf>
    <xf numFmtId="5" fontId="5" fillId="2" borderId="14" xfId="1"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5" fontId="4" fillId="7" borderId="14" xfId="2" applyNumberFormat="1" applyFont="1" applyFill="1" applyBorder="1" applyAlignment="1">
      <alignment horizontal="center" vertical="center"/>
    </xf>
    <xf numFmtId="5" fontId="4" fillId="7" borderId="12" xfId="2" applyNumberFormat="1" applyFont="1" applyFill="1" applyBorder="1" applyAlignment="1">
      <alignment horizontal="center" vertical="center"/>
    </xf>
    <xf numFmtId="5" fontId="4" fillId="6" borderId="14" xfId="2" applyNumberFormat="1" applyFont="1" applyFill="1" applyBorder="1" applyAlignment="1">
      <alignment horizontal="center" vertical="center"/>
    </xf>
    <xf numFmtId="5" fontId="4" fillId="6" borderId="12" xfId="2"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12" xfId="0" applyFont="1" applyFill="1" applyBorder="1" applyAlignment="1">
      <alignment horizontal="center" vertical="center"/>
    </xf>
    <xf numFmtId="166" fontId="10" fillId="10" borderId="5" xfId="2" applyNumberFormat="1" applyFont="1" applyFill="1" applyBorder="1" applyAlignment="1">
      <alignment horizontal="center" vertical="center"/>
    </xf>
    <xf numFmtId="166" fontId="10" fillId="10" borderId="12" xfId="2" applyNumberFormat="1" applyFont="1" applyFill="1" applyBorder="1" applyAlignment="1">
      <alignment horizontal="center" vertical="center"/>
    </xf>
    <xf numFmtId="165" fontId="7" fillId="0" borderId="14" xfId="0" applyNumberFormat="1" applyFont="1" applyBorder="1" applyAlignment="1">
      <alignment horizontal="center" vertical="center"/>
    </xf>
    <xf numFmtId="165" fontId="7" fillId="0" borderId="12" xfId="0" applyNumberFormat="1" applyFont="1" applyBorder="1" applyAlignment="1">
      <alignment horizontal="center" vertical="center"/>
    </xf>
    <xf numFmtId="0" fontId="4" fillId="2" borderId="3" xfId="0" applyFont="1" applyFill="1" applyBorder="1" applyAlignment="1">
      <alignment horizontal="right" vertical="center" wrapText="1"/>
    </xf>
    <xf numFmtId="0" fontId="4" fillId="2" borderId="0" xfId="0" applyFont="1" applyFill="1" applyBorder="1" applyAlignment="1">
      <alignment horizontal="right" vertical="center" wrapText="1"/>
    </xf>
    <xf numFmtId="165" fontId="17" fillId="8" borderId="2" xfId="0" applyNumberFormat="1" applyFont="1" applyFill="1" applyBorder="1" applyAlignment="1">
      <alignment horizontal="center" vertical="center"/>
    </xf>
    <xf numFmtId="6" fontId="5" fillId="2" borderId="2" xfId="0" applyNumberFormat="1" applyFont="1" applyFill="1" applyBorder="1" applyAlignment="1">
      <alignment horizontal="center" vertical="center"/>
    </xf>
    <xf numFmtId="6" fontId="4" fillId="7" borderId="2" xfId="0" applyNumberFormat="1" applyFont="1" applyFill="1" applyBorder="1" applyAlignment="1">
      <alignment horizontal="center" vertical="center"/>
    </xf>
    <xf numFmtId="5" fontId="7" fillId="0" borderId="14" xfId="0" applyNumberFormat="1" applyFont="1" applyBorder="1" applyAlignment="1">
      <alignment horizontal="center" vertical="center"/>
    </xf>
    <xf numFmtId="5" fontId="7" fillId="0" borderId="12" xfId="0" applyNumberFormat="1" applyFont="1" applyBorder="1" applyAlignment="1">
      <alignment horizontal="center" vertical="center"/>
    </xf>
    <xf numFmtId="6" fontId="5" fillId="2" borderId="14" xfId="0" applyNumberFormat="1" applyFont="1" applyFill="1" applyBorder="1" applyAlignment="1">
      <alignment horizontal="center" vertical="center"/>
    </xf>
    <xf numFmtId="6" fontId="5" fillId="2" borderId="12" xfId="0" applyNumberFormat="1"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993366"/>
      <rgbColor rgb="00FFFFCC"/>
      <rgbColor rgb="00CCFFFF"/>
      <rgbColor rgb="00660066"/>
      <rgbColor rgb="00FF8080"/>
      <rgbColor rgb="000066CC"/>
      <rgbColor rgb="00CCFFCC"/>
      <rgbColor rgb="00000080"/>
      <rgbColor rgb="00FF00FF"/>
      <rgbColor rgb="00FFFF00"/>
      <rgbColor rgb="0000FFFF"/>
      <rgbColor rgb="00800080"/>
      <rgbColor rgb="00800000"/>
      <rgbColor rgb="00008080"/>
      <rgbColor rgb="000000FF"/>
      <rgbColor rgb="0000CCFF"/>
      <rgbColor rgb="00CCFFFF"/>
      <rgbColor rgb="00CCFFCC"/>
      <rgbColor rgb="00FFFF99"/>
      <rgbColor rgb="00CCFFCC"/>
      <rgbColor rgb="00CCFF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color rgb="FFFFFF99"/>
      <color rgb="FF9FD789"/>
      <color rgb="FF54BC74"/>
      <color rgb="FFFFFFCC"/>
      <color rgb="FFCCFFCC"/>
      <color rgb="FF7F0C03"/>
      <color rgb="FF669900"/>
      <color rgb="FF00CC99"/>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95892224"/>
        <c:axId val="95893760"/>
      </c:barChart>
      <c:catAx>
        <c:axId val="9589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95893760"/>
        <c:crosses val="autoZero"/>
        <c:auto val="1"/>
        <c:lblAlgn val="ctr"/>
        <c:lblOffset val="100"/>
        <c:tickLblSkip val="1"/>
        <c:tickMarkSkip val="1"/>
        <c:noMultiLvlLbl val="0"/>
      </c:catAx>
      <c:valAx>
        <c:axId val="95893760"/>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95892224"/>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85996672"/>
        <c:axId val="85998208"/>
      </c:barChart>
      <c:catAx>
        <c:axId val="85996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85998208"/>
        <c:crosses val="autoZero"/>
        <c:auto val="1"/>
        <c:lblAlgn val="ctr"/>
        <c:lblOffset val="100"/>
        <c:tickLblSkip val="1"/>
        <c:tickMarkSkip val="1"/>
        <c:noMultiLvlLbl val="0"/>
      </c:catAx>
      <c:valAx>
        <c:axId val="85998208"/>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85996672"/>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200"/>
              <a:t>Total Cost of Ownership Comparison</a:t>
            </a:r>
          </a:p>
        </c:rich>
      </c:tx>
      <c:overlay val="0"/>
    </c:title>
    <c:autoTitleDeleted val="0"/>
    <c:plotArea>
      <c:layout>
        <c:manualLayout>
          <c:layoutTarget val="inner"/>
          <c:xMode val="edge"/>
          <c:yMode val="edge"/>
          <c:x val="0.13399831867049664"/>
          <c:y val="0.15131142827618074"/>
          <c:w val="0.64228315109558465"/>
          <c:h val="0.67651909882358996"/>
        </c:manualLayout>
      </c:layout>
      <c:barChart>
        <c:barDir val="col"/>
        <c:grouping val="stacked"/>
        <c:varyColors val="0"/>
        <c:ser>
          <c:idx val="0"/>
          <c:order val="0"/>
          <c:tx>
            <c:strRef>
              <c:f>'Total Cost of Ownership Summary'!$B$34</c:f>
              <c:strCache>
                <c:ptCount val="1"/>
                <c:pt idx="0">
                  <c:v>Net Investment</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400W MH</c:v>
                </c:pt>
                <c:pt idx="1">
                  <c:v>LED</c:v>
                </c:pt>
              </c:strCache>
            </c:strRef>
          </c:cat>
          <c:val>
            <c:numRef>
              <c:f>'Total Cost of Ownership Summary'!$C$34:$D$34</c:f>
              <c:numCache>
                <c:formatCode>"$"#,##0_);\("$"#,##0\)</c:formatCode>
                <c:ptCount val="2"/>
                <c:pt idx="0" formatCode="&quot;$&quot;#,##0">
                  <c:v>7500</c:v>
                </c:pt>
                <c:pt idx="1">
                  <c:v>17055</c:v>
                </c:pt>
              </c:numCache>
            </c:numRef>
          </c:val>
        </c:ser>
        <c:ser>
          <c:idx val="1"/>
          <c:order val="1"/>
          <c:tx>
            <c:strRef>
              <c:f>'Total Cost of Ownership Summary'!$B$35</c:f>
              <c:strCache>
                <c:ptCount val="1"/>
                <c:pt idx="0">
                  <c:v>Total Lighting Energy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400W MH</c:v>
                </c:pt>
                <c:pt idx="1">
                  <c:v>LED</c:v>
                </c:pt>
              </c:strCache>
            </c:strRef>
          </c:cat>
          <c:val>
            <c:numRef>
              <c:f>'Total Cost of Ownership Summary'!$C$35:$D$35</c:f>
              <c:numCache>
                <c:formatCode>"$"#,##0</c:formatCode>
                <c:ptCount val="2"/>
                <c:pt idx="0">
                  <c:v>61660.710000000006</c:v>
                </c:pt>
                <c:pt idx="1">
                  <c:v>17870.692499999997</c:v>
                </c:pt>
              </c:numCache>
            </c:numRef>
          </c:val>
        </c:ser>
        <c:ser>
          <c:idx val="2"/>
          <c:order val="2"/>
          <c:tx>
            <c:strRef>
              <c:f>'Total Cost of Ownership Summary'!$B$37</c:f>
              <c:strCache>
                <c:ptCount val="1"/>
                <c:pt idx="0">
                  <c:v>Total Maintenance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400W MH</c:v>
                </c:pt>
                <c:pt idx="1">
                  <c:v>LED</c:v>
                </c:pt>
              </c:strCache>
            </c:strRef>
          </c:cat>
          <c:val>
            <c:numRef>
              <c:f>'Total Cost of Ownership Summary'!$C$37:$D$37</c:f>
              <c:numCache>
                <c:formatCode>"$"#,##0</c:formatCode>
                <c:ptCount val="2"/>
                <c:pt idx="0">
                  <c:v>23735.450916940204</c:v>
                </c:pt>
                <c:pt idx="1">
                  <c:v>0</c:v>
                </c:pt>
              </c:numCache>
            </c:numRef>
          </c:val>
        </c:ser>
        <c:ser>
          <c:idx val="3"/>
          <c:order val="3"/>
          <c:tx>
            <c:strRef>
              <c:f>'Total Cost of Ownership Summary'!$B$36</c:f>
              <c:strCache>
                <c:ptCount val="1"/>
                <c:pt idx="0">
                  <c:v>Incremental Air Cooling Energy Costs</c:v>
                </c:pt>
              </c:strCache>
            </c:strRef>
          </c:tx>
          <c:invertIfNegative val="0"/>
          <c:val>
            <c:numRef>
              <c:f>'Total Cost of Ownership Summary'!$C$36:$D$36</c:f>
              <c:numCache>
                <c:formatCode>"$"#,##0</c:formatCode>
                <c:ptCount val="2"/>
                <c:pt idx="0">
                  <c:v>0</c:v>
                </c:pt>
                <c:pt idx="1">
                  <c:v>0</c:v>
                </c:pt>
              </c:numCache>
            </c:numRef>
          </c:val>
        </c:ser>
        <c:dLbls>
          <c:showLegendKey val="0"/>
          <c:showVal val="0"/>
          <c:showCatName val="0"/>
          <c:showSerName val="0"/>
          <c:showPercent val="0"/>
          <c:showBubbleSize val="0"/>
        </c:dLbls>
        <c:gapWidth val="75"/>
        <c:overlap val="100"/>
        <c:axId val="95949184"/>
        <c:axId val="95950720"/>
      </c:barChart>
      <c:catAx>
        <c:axId val="95949184"/>
        <c:scaling>
          <c:orientation val="minMax"/>
        </c:scaling>
        <c:delete val="0"/>
        <c:axPos val="b"/>
        <c:majorTickMark val="out"/>
        <c:minorTickMark val="none"/>
        <c:tickLblPos val="nextTo"/>
        <c:txPr>
          <a:bodyPr/>
          <a:lstStyle/>
          <a:p>
            <a:pPr>
              <a:defRPr sz="1600" b="1"/>
            </a:pPr>
            <a:endParaRPr lang="en-US"/>
          </a:p>
        </c:txPr>
        <c:crossAx val="95950720"/>
        <c:crosses val="autoZero"/>
        <c:auto val="1"/>
        <c:lblAlgn val="ctr"/>
        <c:lblOffset val="100"/>
        <c:noMultiLvlLbl val="0"/>
      </c:catAx>
      <c:valAx>
        <c:axId val="95950720"/>
        <c:scaling>
          <c:orientation val="minMax"/>
        </c:scaling>
        <c:delete val="0"/>
        <c:axPos val="l"/>
        <c:majorGridlines/>
        <c:numFmt formatCode="&quot;$&quot;#,##0" sourceLinked="1"/>
        <c:majorTickMark val="out"/>
        <c:minorTickMark val="none"/>
        <c:tickLblPos val="nextTo"/>
        <c:crossAx val="95949184"/>
        <c:crosses val="autoZero"/>
        <c:crossBetween val="between"/>
      </c:valAx>
    </c:plotArea>
    <c:legend>
      <c:legendPos val="r"/>
      <c:layout>
        <c:manualLayout>
          <c:xMode val="edge"/>
          <c:yMode val="edge"/>
          <c:x val="0.78975135966869869"/>
          <c:y val="0.14316542006811964"/>
          <c:w val="0.20103669449270706"/>
          <c:h val="0.58905718248077665"/>
        </c:manualLayout>
      </c:layout>
      <c:overlay val="0"/>
      <c:txPr>
        <a:bodyPr/>
        <a:lstStyle/>
        <a:p>
          <a:pPr>
            <a:defRPr sz="1200"/>
          </a:pPr>
          <a:endParaRPr lang="en-US"/>
        </a:p>
      </c:txPr>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tif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7.tif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6.tiff"/><Relationship Id="rId5" Type="http://schemas.openxmlformats.org/officeDocument/2006/relationships/image" Target="../media/image2.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0</xdr:row>
      <xdr:rowOff>47626</xdr:rowOff>
    </xdr:from>
    <xdr:to>
      <xdr:col>1</xdr:col>
      <xdr:colOff>511655</xdr:colOff>
      <xdr:row>3</xdr:row>
      <xdr:rowOff>23453</xdr:rowOff>
    </xdr:to>
    <xdr:pic>
      <xdr:nvPicPr>
        <xdr:cNvPr id="8345"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642937" y="190501"/>
          <a:ext cx="475937" cy="404452"/>
        </a:xfrm>
        <a:prstGeom prst="rect">
          <a:avLst/>
        </a:prstGeom>
        <a:noFill/>
        <a:ln w="1">
          <a:noFill/>
          <a:miter lim="800000"/>
          <a:headEnd/>
          <a:tailEnd/>
        </a:ln>
      </xdr:spPr>
    </xdr:pic>
    <xdr:clientData/>
  </xdr:twoCellAnchor>
  <xdr:twoCellAnchor editAs="oneCell">
    <xdr:from>
      <xdr:col>7</xdr:col>
      <xdr:colOff>152985</xdr:colOff>
      <xdr:row>0</xdr:row>
      <xdr:rowOff>24848</xdr:rowOff>
    </xdr:from>
    <xdr:to>
      <xdr:col>8</xdr:col>
      <xdr:colOff>1683802</xdr:colOff>
      <xdr:row>3</xdr:row>
      <xdr:rowOff>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7768" y="24848"/>
          <a:ext cx="1746164" cy="39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147846</xdr:colOff>
      <xdr:row>0</xdr:row>
      <xdr:rowOff>41413</xdr:rowOff>
    </xdr:from>
    <xdr:to>
      <xdr:col>2</xdr:col>
      <xdr:colOff>810316</xdr:colOff>
      <xdr:row>3</xdr:row>
      <xdr:rowOff>195719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1216303" y="41413"/>
          <a:ext cx="662470" cy="576719"/>
        </a:xfrm>
        <a:prstGeom prst="rect">
          <a:avLst/>
        </a:prstGeom>
      </xdr:spPr>
    </xdr:pic>
    <xdr:clientData/>
  </xdr:twoCellAnchor>
  <xdr:twoCellAnchor editAs="oneCell">
    <xdr:from>
      <xdr:col>1</xdr:col>
      <xdr:colOff>546653</xdr:colOff>
      <xdr:row>0</xdr:row>
      <xdr:rowOff>74544</xdr:rowOff>
    </xdr:from>
    <xdr:to>
      <xdr:col>2</xdr:col>
      <xdr:colOff>265043</xdr:colOff>
      <xdr:row>3</xdr:row>
      <xdr:rowOff>166376</xdr:rowOff>
    </xdr:to>
    <xdr:pic>
      <xdr:nvPicPr>
        <xdr:cNvPr id="8" name="Picture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0892" y="74544"/>
          <a:ext cx="662608" cy="514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0</xdr:rowOff>
    </xdr:from>
    <xdr:to>
      <xdr:col>8</xdr:col>
      <xdr:colOff>590550</xdr:colOff>
      <xdr:row>56</xdr:row>
      <xdr:rowOff>0</xdr:rowOff>
    </xdr:to>
    <xdr:graphicFrame macro="">
      <xdr:nvGraphicFramePr>
        <xdr:cNvPr id="56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8</xdr:col>
      <xdr:colOff>590550</xdr:colOff>
      <xdr:row>58</xdr:row>
      <xdr:rowOff>0</xdr:rowOff>
    </xdr:to>
    <xdr:graphicFrame macro="">
      <xdr:nvGraphicFramePr>
        <xdr:cNvPr id="56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358588</xdr:colOff>
      <xdr:row>41</xdr:row>
      <xdr:rowOff>186263</xdr:rowOff>
    </xdr:from>
    <xdr:to>
      <xdr:col>8</xdr:col>
      <xdr:colOff>219881</xdr:colOff>
      <xdr:row>55</xdr:row>
      <xdr:rowOff>151417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54348</xdr:colOff>
      <xdr:row>0</xdr:row>
      <xdr:rowOff>75080</xdr:rowOff>
    </xdr:from>
    <xdr:to>
      <xdr:col>0</xdr:col>
      <xdr:colOff>568698</xdr:colOff>
      <xdr:row>3</xdr:row>
      <xdr:rowOff>22973</xdr:rowOff>
    </xdr:to>
    <xdr:pic>
      <xdr:nvPicPr>
        <xdr:cNvPr id="5631"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54348" y="75080"/>
          <a:ext cx="514350" cy="418540"/>
        </a:xfrm>
        <a:prstGeom prst="rect">
          <a:avLst/>
        </a:prstGeom>
        <a:noFill/>
        <a:ln w="1">
          <a:noFill/>
          <a:miter lim="800000"/>
          <a:headEnd/>
          <a:tailEnd/>
        </a:ln>
      </xdr:spPr>
    </xdr:pic>
    <xdr:clientData/>
  </xdr:twoCellAnchor>
  <xdr:twoCellAnchor editAs="oneCell">
    <xdr:from>
      <xdr:col>6</xdr:col>
      <xdr:colOff>31751</xdr:colOff>
      <xdr:row>0</xdr:row>
      <xdr:rowOff>52917</xdr:rowOff>
    </xdr:from>
    <xdr:to>
      <xdr:col>8</xdr:col>
      <xdr:colOff>211667</xdr:colOff>
      <xdr:row>2</xdr:row>
      <xdr:rowOff>149869</xdr:rowOff>
    </xdr:to>
    <xdr:pic>
      <xdr:nvPicPr>
        <xdr:cNvPr id="10" name="Picture 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59084" y="52917"/>
          <a:ext cx="1820333" cy="414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1111250</xdr:colOff>
      <xdr:row>0</xdr:row>
      <xdr:rowOff>88411</xdr:rowOff>
    </xdr:from>
    <xdr:to>
      <xdr:col>2</xdr:col>
      <xdr:colOff>415412</xdr:colOff>
      <xdr:row>6</xdr:row>
      <xdr:rowOff>181949</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flipH="1">
          <a:off x="1714500" y="88411"/>
          <a:ext cx="1505495" cy="1310621"/>
        </a:xfrm>
        <a:prstGeom prst="rect">
          <a:avLst/>
        </a:prstGeom>
      </xdr:spPr>
    </xdr:pic>
    <xdr:clientData/>
  </xdr:twoCellAnchor>
  <xdr:twoCellAnchor editAs="oneCell">
    <xdr:from>
      <xdr:col>0</xdr:col>
      <xdr:colOff>591008</xdr:colOff>
      <xdr:row>1</xdr:row>
      <xdr:rowOff>116417</xdr:rowOff>
    </xdr:from>
    <xdr:to>
      <xdr:col>1</xdr:col>
      <xdr:colOff>1354667</xdr:colOff>
      <xdr:row>6</xdr:row>
      <xdr:rowOff>118932</xdr:rowOff>
    </xdr:to>
    <xdr:pic>
      <xdr:nvPicPr>
        <xdr:cNvPr id="11" name="Picture 1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91008" y="275167"/>
          <a:ext cx="1366909" cy="10608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O84"/>
  <sheetViews>
    <sheetView showGridLines="0" tabSelected="1" zoomScale="115" zoomScaleNormal="115" zoomScaleSheetLayoutView="100" workbookViewId="0">
      <selection activeCell="I28" sqref="I28"/>
    </sheetView>
  </sheetViews>
  <sheetFormatPr defaultRowHeight="11.25" x14ac:dyDescent="0.2"/>
  <cols>
    <col min="1" max="1" width="1.85546875" style="85" customWidth="1"/>
    <col min="2" max="2" width="14.140625" style="113" customWidth="1"/>
    <col min="3" max="3" width="23.7109375" style="113" customWidth="1"/>
    <col min="4" max="4" width="15.7109375" style="113" customWidth="1"/>
    <col min="5" max="5" width="12.7109375" style="113" customWidth="1"/>
    <col min="6" max="6" width="6" style="113" customWidth="1"/>
    <col min="7" max="7" width="20.28515625" style="113" customWidth="1"/>
    <col min="8" max="8" width="3.28515625" style="113" customWidth="1"/>
    <col min="9" max="9" width="26" style="85" customWidth="1"/>
    <col min="10" max="10" width="23.140625" style="84" hidden="1" customWidth="1"/>
    <col min="11" max="11" width="13.140625" style="84" hidden="1" customWidth="1"/>
    <col min="12" max="12" width="16.140625" style="85" hidden="1" customWidth="1"/>
    <col min="13" max="13" width="9.140625" style="84" hidden="1" customWidth="1"/>
    <col min="14" max="14" width="19.28515625" style="84" hidden="1" customWidth="1"/>
    <col min="15" max="15" width="15.5703125" style="84" hidden="1" customWidth="1"/>
    <col min="16" max="16384" width="9.140625" style="85"/>
  </cols>
  <sheetData>
    <row r="1" spans="2:14" x14ac:dyDescent="0.2">
      <c r="B1" s="143"/>
      <c r="C1" s="144"/>
      <c r="D1" s="144"/>
      <c r="E1" s="144"/>
      <c r="F1" s="144"/>
      <c r="G1" s="144"/>
      <c r="H1" s="144"/>
      <c r="I1" s="145"/>
      <c r="J1" s="83"/>
      <c r="K1" s="83"/>
      <c r="L1" s="81"/>
      <c r="M1" s="83"/>
    </row>
    <row r="2" spans="2:14" x14ac:dyDescent="0.2">
      <c r="B2" s="128"/>
      <c r="C2" s="129"/>
      <c r="D2" s="129"/>
      <c r="E2" s="129"/>
      <c r="F2" s="129"/>
      <c r="G2" s="129"/>
      <c r="H2" s="129"/>
      <c r="I2" s="130"/>
      <c r="J2" s="86"/>
      <c r="K2" s="86"/>
      <c r="L2" s="86"/>
      <c r="M2" s="86"/>
      <c r="N2" s="87"/>
    </row>
    <row r="3" spans="2:14" x14ac:dyDescent="0.2">
      <c r="B3" s="218"/>
      <c r="C3" s="219"/>
      <c r="D3" s="219"/>
      <c r="E3" s="219"/>
      <c r="F3" s="219"/>
      <c r="G3" s="219"/>
      <c r="H3" s="219"/>
      <c r="I3" s="220"/>
      <c r="J3" s="86"/>
      <c r="K3" s="86"/>
      <c r="L3" s="86"/>
      <c r="M3" s="86"/>
      <c r="N3" s="87"/>
    </row>
    <row r="4" spans="2:14" ht="22.5" customHeight="1" x14ac:dyDescent="0.2">
      <c r="B4" s="228" t="s">
        <v>128</v>
      </c>
      <c r="C4" s="229"/>
      <c r="D4" s="229"/>
      <c r="E4" s="229"/>
      <c r="F4" s="229"/>
      <c r="G4" s="229"/>
      <c r="H4" s="229"/>
      <c r="I4" s="230"/>
      <c r="J4" s="83"/>
      <c r="K4" s="83"/>
      <c r="L4" s="81"/>
      <c r="M4" s="83"/>
    </row>
    <row r="5" spans="2:14" x14ac:dyDescent="0.2">
      <c r="B5" s="226" t="s">
        <v>40</v>
      </c>
      <c r="C5" s="227"/>
      <c r="D5" s="227"/>
      <c r="E5" s="227"/>
      <c r="F5" s="227"/>
      <c r="G5" s="227"/>
      <c r="H5" s="201"/>
      <c r="I5" s="131" t="s">
        <v>23</v>
      </c>
      <c r="J5" s="83"/>
      <c r="K5" s="83" t="s">
        <v>13</v>
      </c>
      <c r="L5" s="81" t="s">
        <v>22</v>
      </c>
      <c r="M5" s="83"/>
    </row>
    <row r="6" spans="2:14" x14ac:dyDescent="0.2">
      <c r="B6" s="132">
        <v>1</v>
      </c>
      <c r="C6" s="217" t="s">
        <v>33</v>
      </c>
      <c r="D6" s="217"/>
      <c r="E6" s="217"/>
      <c r="F6" s="217"/>
      <c r="G6" s="217"/>
      <c r="H6" s="217"/>
      <c r="I6" s="133" t="s">
        <v>76</v>
      </c>
      <c r="J6" s="83"/>
      <c r="K6" s="83"/>
      <c r="L6" s="81"/>
      <c r="M6" s="83"/>
    </row>
    <row r="7" spans="2:14" s="93" customFormat="1" x14ac:dyDescent="0.2">
      <c r="B7" s="132">
        <v>2</v>
      </c>
      <c r="C7" s="217" t="s">
        <v>74</v>
      </c>
      <c r="D7" s="217"/>
      <c r="E7" s="217"/>
      <c r="F7" s="217"/>
      <c r="G7" s="217"/>
      <c r="H7" s="217"/>
      <c r="I7" s="133" t="s">
        <v>77</v>
      </c>
      <c r="J7" s="89" t="str">
        <f>VLOOKUP(I7,C39:E73,1,FALSE)</f>
        <v>400W MH</v>
      </c>
      <c r="K7" s="90">
        <f>VLOOKUP(I7,C39:E73,2,FALSE)</f>
        <v>452</v>
      </c>
      <c r="L7" s="91">
        <f>VLOOKUP(I7,C39:E73,3,FALSE)</f>
        <v>20000</v>
      </c>
      <c r="M7" s="88"/>
      <c r="N7" s="92" t="str">
        <f>J7</f>
        <v>400W MH</v>
      </c>
    </row>
    <row r="8" spans="2:14" s="93" customFormat="1" x14ac:dyDescent="0.2">
      <c r="B8" s="132">
        <v>3</v>
      </c>
      <c r="C8" s="217" t="s">
        <v>137</v>
      </c>
      <c r="D8" s="217"/>
      <c r="E8" s="217"/>
      <c r="F8" s="217"/>
      <c r="G8" s="217"/>
      <c r="H8" s="217"/>
      <c r="I8" s="133">
        <v>15</v>
      </c>
      <c r="J8" s="90"/>
      <c r="K8" s="90"/>
      <c r="L8" s="90"/>
      <c r="M8" s="88"/>
    </row>
    <row r="9" spans="2:14" s="93" customFormat="1" x14ac:dyDescent="0.2">
      <c r="B9" s="132">
        <v>4</v>
      </c>
      <c r="C9" s="217" t="s">
        <v>138</v>
      </c>
      <c r="D9" s="217"/>
      <c r="E9" s="217"/>
      <c r="F9" s="217"/>
      <c r="G9" s="217"/>
      <c r="H9" s="217"/>
      <c r="I9" s="133">
        <v>15</v>
      </c>
      <c r="J9" s="90"/>
      <c r="K9" s="90"/>
      <c r="L9" s="90"/>
      <c r="M9" s="88"/>
    </row>
    <row r="10" spans="2:14" s="93" customFormat="1" x14ac:dyDescent="0.2">
      <c r="B10" s="132">
        <v>5</v>
      </c>
      <c r="C10" s="217" t="s">
        <v>54</v>
      </c>
      <c r="D10" s="217"/>
      <c r="E10" s="217"/>
      <c r="F10" s="217"/>
      <c r="G10" s="217"/>
      <c r="H10" s="217"/>
      <c r="I10" s="134">
        <v>500</v>
      </c>
      <c r="J10" s="90"/>
      <c r="K10" s="90"/>
      <c r="L10" s="90"/>
      <c r="M10" s="88"/>
    </row>
    <row r="11" spans="2:14" s="93" customFormat="1" x14ac:dyDescent="0.2">
      <c r="B11" s="132">
        <v>6</v>
      </c>
      <c r="C11" s="217" t="s">
        <v>30</v>
      </c>
      <c r="D11" s="217"/>
      <c r="E11" s="217"/>
      <c r="F11" s="217"/>
      <c r="G11" s="217"/>
      <c r="H11" s="217"/>
      <c r="I11" s="135">
        <v>25</v>
      </c>
      <c r="J11" s="90"/>
      <c r="K11" s="90"/>
      <c r="L11" s="90"/>
      <c r="M11" s="88"/>
    </row>
    <row r="12" spans="2:14" s="93" customFormat="1" x14ac:dyDescent="0.2">
      <c r="B12" s="132">
        <v>7</v>
      </c>
      <c r="C12" s="217" t="s">
        <v>31</v>
      </c>
      <c r="D12" s="217"/>
      <c r="E12" s="217"/>
      <c r="F12" s="217"/>
      <c r="G12" s="217"/>
      <c r="H12" s="217"/>
      <c r="I12" s="135">
        <v>2</v>
      </c>
      <c r="J12" s="90"/>
      <c r="K12" s="90"/>
      <c r="L12" s="90"/>
      <c r="M12" s="88"/>
    </row>
    <row r="13" spans="2:14" s="93" customFormat="1" x14ac:dyDescent="0.2">
      <c r="B13" s="132">
        <v>8</v>
      </c>
      <c r="C13" s="217" t="s">
        <v>158</v>
      </c>
      <c r="D13" s="217"/>
      <c r="E13" s="217"/>
      <c r="F13" s="217"/>
      <c r="G13" s="217"/>
      <c r="H13" s="217"/>
      <c r="I13" s="135">
        <v>75</v>
      </c>
      <c r="J13" s="90"/>
      <c r="K13" s="90"/>
      <c r="L13" s="90"/>
      <c r="M13" s="88"/>
    </row>
    <row r="14" spans="2:14" s="93" customFormat="1" x14ac:dyDescent="0.2">
      <c r="B14" s="132">
        <v>9</v>
      </c>
      <c r="C14" s="217" t="s">
        <v>155</v>
      </c>
      <c r="D14" s="217"/>
      <c r="E14" s="217"/>
      <c r="F14" s="217"/>
      <c r="G14" s="217"/>
      <c r="H14" s="217"/>
      <c r="I14" s="133">
        <v>7</v>
      </c>
      <c r="J14" s="90"/>
      <c r="K14" s="90"/>
      <c r="L14" s="90"/>
      <c r="M14" s="88"/>
    </row>
    <row r="15" spans="2:14" s="93" customFormat="1" x14ac:dyDescent="0.2">
      <c r="B15" s="132">
        <v>10</v>
      </c>
      <c r="C15" s="217" t="s">
        <v>156</v>
      </c>
      <c r="D15" s="217"/>
      <c r="E15" s="217"/>
      <c r="F15" s="217"/>
      <c r="G15" s="217"/>
      <c r="H15" s="217"/>
      <c r="I15" s="135">
        <v>5</v>
      </c>
      <c r="J15" s="90"/>
      <c r="K15" s="90"/>
      <c r="L15" s="90"/>
      <c r="M15" s="88"/>
    </row>
    <row r="16" spans="2:14" s="93" customFormat="1" x14ac:dyDescent="0.2">
      <c r="B16" s="132">
        <v>11</v>
      </c>
      <c r="C16" s="217" t="s">
        <v>37</v>
      </c>
      <c r="D16" s="217"/>
      <c r="E16" s="217"/>
      <c r="F16" s="217"/>
      <c r="G16" s="217"/>
      <c r="H16" s="217"/>
      <c r="I16" s="136">
        <v>1</v>
      </c>
      <c r="J16" s="88"/>
      <c r="K16" s="90"/>
      <c r="L16" s="90"/>
      <c r="M16" s="88"/>
      <c r="N16" s="94"/>
    </row>
    <row r="17" spans="2:14" s="93" customFormat="1" x14ac:dyDescent="0.2">
      <c r="B17" s="132">
        <v>12</v>
      </c>
      <c r="C17" s="217" t="s">
        <v>38</v>
      </c>
      <c r="D17" s="217"/>
      <c r="E17" s="217"/>
      <c r="F17" s="217"/>
      <c r="G17" s="217"/>
      <c r="H17" s="217"/>
      <c r="I17" s="133">
        <v>2</v>
      </c>
      <c r="J17" s="88"/>
      <c r="K17" s="90"/>
      <c r="L17" s="90"/>
      <c r="M17" s="88"/>
      <c r="N17" s="94"/>
    </row>
    <row r="18" spans="2:14" s="93" customFormat="1" x14ac:dyDescent="0.2">
      <c r="B18" s="132">
        <v>13</v>
      </c>
      <c r="C18" s="217" t="s">
        <v>20</v>
      </c>
      <c r="D18" s="217"/>
      <c r="E18" s="217"/>
      <c r="F18" s="217"/>
      <c r="G18" s="217"/>
      <c r="H18" s="217"/>
      <c r="I18" s="135">
        <v>75</v>
      </c>
      <c r="J18" s="88"/>
      <c r="K18" s="90"/>
      <c r="L18" s="90"/>
      <c r="M18" s="88"/>
    </row>
    <row r="19" spans="2:14" s="93" customFormat="1" x14ac:dyDescent="0.2">
      <c r="B19" s="132">
        <v>14</v>
      </c>
      <c r="C19" s="217" t="s">
        <v>21</v>
      </c>
      <c r="D19" s="217"/>
      <c r="E19" s="217"/>
      <c r="F19" s="217"/>
      <c r="G19" s="217"/>
      <c r="H19" s="217"/>
      <c r="I19" s="135">
        <v>0.1</v>
      </c>
      <c r="J19" s="90"/>
      <c r="K19" s="90"/>
      <c r="L19" s="90"/>
      <c r="M19" s="88"/>
    </row>
    <row r="20" spans="2:14" s="93" customFormat="1" x14ac:dyDescent="0.2">
      <c r="B20" s="132">
        <v>15</v>
      </c>
      <c r="C20" s="217" t="s">
        <v>26</v>
      </c>
      <c r="D20" s="217"/>
      <c r="E20" s="217"/>
      <c r="F20" s="217"/>
      <c r="G20" s="217"/>
      <c r="H20" s="217"/>
      <c r="I20" s="133">
        <v>24</v>
      </c>
      <c r="J20" s="95"/>
      <c r="K20" s="90">
        <f>I20*52*7</f>
        <v>8736</v>
      </c>
      <c r="L20" s="96" t="s">
        <v>24</v>
      </c>
      <c r="M20" s="88"/>
    </row>
    <row r="21" spans="2:14" s="93" customFormat="1" x14ac:dyDescent="0.2">
      <c r="B21" s="132">
        <v>16</v>
      </c>
      <c r="C21" s="176" t="s">
        <v>96</v>
      </c>
      <c r="D21" s="177"/>
      <c r="E21" s="177"/>
      <c r="F21" s="177"/>
      <c r="G21" s="177"/>
      <c r="H21" s="178"/>
      <c r="I21" s="133" t="s">
        <v>98</v>
      </c>
      <c r="J21" s="95" t="s">
        <v>97</v>
      </c>
      <c r="K21" s="90">
        <f>K20*(1-I32)</f>
        <v>4368</v>
      </c>
      <c r="L21" s="96" t="s">
        <v>132</v>
      </c>
      <c r="M21" s="88"/>
    </row>
    <row r="22" spans="2:14" s="93" customFormat="1" x14ac:dyDescent="0.2">
      <c r="B22" s="132">
        <v>17</v>
      </c>
      <c r="C22" s="179" t="s">
        <v>92</v>
      </c>
      <c r="D22" s="180"/>
      <c r="E22" s="180"/>
      <c r="F22" s="180"/>
      <c r="G22" s="180"/>
      <c r="H22" s="181"/>
      <c r="I22" s="182">
        <v>30</v>
      </c>
      <c r="J22" s="95" t="s">
        <v>98</v>
      </c>
      <c r="K22" s="90"/>
      <c r="L22" s="96"/>
      <c r="M22" s="88"/>
    </row>
    <row r="23" spans="2:14" s="93" customFormat="1" x14ac:dyDescent="0.2">
      <c r="B23" s="132">
        <v>18</v>
      </c>
      <c r="C23" s="179" t="s">
        <v>93</v>
      </c>
      <c r="D23" s="180"/>
      <c r="E23" s="180"/>
      <c r="F23" s="180"/>
      <c r="G23" s="180"/>
      <c r="H23" s="181"/>
      <c r="I23" s="208">
        <v>0.9</v>
      </c>
      <c r="J23" s="95"/>
      <c r="K23" s="90"/>
      <c r="L23" s="96"/>
      <c r="M23" s="88"/>
    </row>
    <row r="24" spans="2:14" s="93" customFormat="1" x14ac:dyDescent="0.2">
      <c r="B24" s="132">
        <v>19</v>
      </c>
      <c r="C24" s="221" t="s">
        <v>99</v>
      </c>
      <c r="D24" s="222"/>
      <c r="E24" s="222"/>
      <c r="F24" s="222"/>
      <c r="G24" s="222"/>
      <c r="H24" s="223"/>
      <c r="I24" s="182">
        <v>50</v>
      </c>
      <c r="J24" s="166">
        <f>(I24-32)*5/9</f>
        <v>10</v>
      </c>
      <c r="K24" s="90"/>
      <c r="L24" s="96"/>
      <c r="M24" s="88"/>
    </row>
    <row r="25" spans="2:14" s="93" customFormat="1" x14ac:dyDescent="0.2">
      <c r="B25" s="132">
        <v>20</v>
      </c>
      <c r="C25" s="221" t="s">
        <v>94</v>
      </c>
      <c r="D25" s="222"/>
      <c r="E25" s="222"/>
      <c r="F25" s="222"/>
      <c r="G25" s="222"/>
      <c r="H25" s="223"/>
      <c r="I25" s="182">
        <v>80</v>
      </c>
      <c r="J25" s="166">
        <f>(I25-32)*5/9</f>
        <v>26.666666666666668</v>
      </c>
      <c r="K25" s="90"/>
      <c r="L25" s="96"/>
      <c r="M25" s="88"/>
    </row>
    <row r="26" spans="2:14" s="93" customFormat="1" x14ac:dyDescent="0.2">
      <c r="B26" s="132">
        <v>21</v>
      </c>
      <c r="C26" s="179" t="s">
        <v>95</v>
      </c>
      <c r="D26" s="180"/>
      <c r="E26" s="180"/>
      <c r="F26" s="180"/>
      <c r="G26" s="180"/>
      <c r="H26" s="181"/>
      <c r="I26" s="183">
        <f>J26</f>
        <v>1.6988999999999981</v>
      </c>
      <c r="J26" s="167">
        <f>(J24+273.15)/((J25+273.15)-(J24+273.15))*0.1</f>
        <v>1.6988999999999981</v>
      </c>
      <c r="K26" s="90"/>
      <c r="L26" s="96"/>
      <c r="M26" s="88"/>
    </row>
    <row r="27" spans="2:14" s="93" customFormat="1" x14ac:dyDescent="0.2">
      <c r="B27" s="132">
        <v>22</v>
      </c>
      <c r="C27" s="217" t="s">
        <v>139</v>
      </c>
      <c r="D27" s="217"/>
      <c r="E27" s="217"/>
      <c r="F27" s="217"/>
      <c r="G27" s="217"/>
      <c r="H27" s="217"/>
      <c r="I27" s="184">
        <v>104</v>
      </c>
      <c r="J27" s="168"/>
      <c r="K27" s="90"/>
      <c r="L27" s="96"/>
      <c r="M27" s="88"/>
    </row>
    <row r="28" spans="2:14" s="93" customFormat="1" x14ac:dyDescent="0.2">
      <c r="B28" s="132">
        <v>23</v>
      </c>
      <c r="C28" s="217" t="s">
        <v>75</v>
      </c>
      <c r="D28" s="217"/>
      <c r="E28" s="217"/>
      <c r="F28" s="217"/>
      <c r="G28" s="217"/>
      <c r="H28" s="217"/>
      <c r="I28" s="133" t="s">
        <v>151</v>
      </c>
      <c r="J28" s="123" t="str">
        <f>VLOOKUP(I28,I39:K50,1,FALSE)</f>
        <v>VMV 13L - 131W</v>
      </c>
      <c r="K28" s="90">
        <f>VLOOKUP(I28,I39:K50,2, FALSE)</f>
        <v>131</v>
      </c>
      <c r="L28" s="97">
        <f>VLOOKUP(I28,I39:K50,3,FALSE)</f>
        <v>90945</v>
      </c>
      <c r="M28" s="88"/>
      <c r="N28" s="98" t="str">
        <f>J28</f>
        <v>VMV 13L - 131W</v>
      </c>
    </row>
    <row r="29" spans="2:14" s="93" customFormat="1" x14ac:dyDescent="0.2">
      <c r="B29" s="132">
        <v>24</v>
      </c>
      <c r="C29" s="217" t="s">
        <v>14</v>
      </c>
      <c r="D29" s="217"/>
      <c r="E29" s="217"/>
      <c r="F29" s="217"/>
      <c r="G29" s="217"/>
      <c r="H29" s="217"/>
      <c r="I29" s="134">
        <v>1137</v>
      </c>
      <c r="J29" s="99"/>
      <c r="K29" s="90"/>
      <c r="L29" s="96"/>
      <c r="M29" s="88"/>
    </row>
    <row r="30" spans="2:14" s="93" customFormat="1" x14ac:dyDescent="0.2">
      <c r="B30" s="132">
        <v>25</v>
      </c>
      <c r="C30" s="234" t="s">
        <v>102</v>
      </c>
      <c r="D30" s="235"/>
      <c r="E30" s="235"/>
      <c r="F30" s="235"/>
      <c r="G30" s="235"/>
      <c r="H30" s="236"/>
      <c r="I30" s="135">
        <v>0</v>
      </c>
      <c r="J30" s="99"/>
      <c r="K30" s="90"/>
      <c r="L30" s="96"/>
      <c r="M30" s="88"/>
    </row>
    <row r="31" spans="2:14" s="93" customFormat="1" x14ac:dyDescent="0.2">
      <c r="B31" s="132">
        <v>26</v>
      </c>
      <c r="C31" s="186" t="s">
        <v>129</v>
      </c>
      <c r="D31" s="187"/>
      <c r="E31" s="187"/>
      <c r="F31" s="187"/>
      <c r="G31" s="187"/>
      <c r="H31" s="188"/>
      <c r="I31" s="135" t="s">
        <v>98</v>
      </c>
      <c r="J31" s="99"/>
      <c r="K31" s="90"/>
      <c r="L31" s="96"/>
      <c r="M31" s="88"/>
    </row>
    <row r="32" spans="2:14" s="93" customFormat="1" x14ac:dyDescent="0.2">
      <c r="B32" s="132">
        <v>27</v>
      </c>
      <c r="C32" s="186" t="s">
        <v>130</v>
      </c>
      <c r="D32" s="187"/>
      <c r="E32" s="187"/>
      <c r="F32" s="187"/>
      <c r="G32" s="187"/>
      <c r="H32" s="188"/>
      <c r="I32" s="185">
        <v>0.5</v>
      </c>
      <c r="J32" s="99"/>
      <c r="K32" s="90"/>
      <c r="L32" s="96"/>
      <c r="M32" s="88"/>
    </row>
    <row r="33" spans="2:15" s="93" customFormat="1" x14ac:dyDescent="0.2">
      <c r="B33" s="132">
        <v>28</v>
      </c>
      <c r="C33" s="186" t="s">
        <v>131</v>
      </c>
      <c r="D33" s="187"/>
      <c r="E33" s="187"/>
      <c r="F33" s="187"/>
      <c r="G33" s="187"/>
      <c r="H33" s="188"/>
      <c r="I33" s="135">
        <v>0</v>
      </c>
      <c r="J33" s="99"/>
      <c r="K33" s="90"/>
      <c r="L33" s="96"/>
      <c r="M33" s="88"/>
    </row>
    <row r="34" spans="2:15" s="93" customFormat="1" x14ac:dyDescent="0.2">
      <c r="B34" s="132">
        <v>29</v>
      </c>
      <c r="C34" s="198" t="s">
        <v>101</v>
      </c>
      <c r="D34" s="199"/>
      <c r="E34" s="199"/>
      <c r="F34" s="199"/>
      <c r="G34" s="199"/>
      <c r="H34" s="200"/>
      <c r="I34" s="135">
        <v>0</v>
      </c>
      <c r="J34" s="99"/>
      <c r="K34" s="90"/>
      <c r="L34" s="96"/>
      <c r="M34" s="88"/>
    </row>
    <row r="35" spans="2:15" s="93" customFormat="1" x14ac:dyDescent="0.2">
      <c r="B35" s="132">
        <v>30</v>
      </c>
      <c r="C35" s="198" t="s">
        <v>100</v>
      </c>
      <c r="D35" s="199"/>
      <c r="E35" s="199"/>
      <c r="F35" s="199"/>
      <c r="G35" s="199"/>
      <c r="H35" s="200"/>
      <c r="I35" s="135">
        <v>0</v>
      </c>
      <c r="J35" s="99"/>
      <c r="K35" s="90"/>
      <c r="L35" s="96"/>
      <c r="M35" s="88"/>
    </row>
    <row r="36" spans="2:15" s="93" customFormat="1" ht="12" customHeight="1" x14ac:dyDescent="0.2">
      <c r="B36" s="132">
        <v>31</v>
      </c>
      <c r="C36" s="231" t="s">
        <v>103</v>
      </c>
      <c r="D36" s="231"/>
      <c r="E36" s="231"/>
      <c r="F36" s="231"/>
      <c r="G36" s="231"/>
      <c r="H36" s="231"/>
      <c r="I36" s="135">
        <v>0</v>
      </c>
      <c r="J36" s="100"/>
      <c r="K36" s="90"/>
      <c r="L36" s="91"/>
      <c r="M36" s="88"/>
    </row>
    <row r="37" spans="2:15" hidden="1" x14ac:dyDescent="0.2">
      <c r="B37" s="224" t="s">
        <v>19</v>
      </c>
      <c r="C37" s="225"/>
      <c r="D37" s="101"/>
      <c r="E37" s="102"/>
      <c r="F37" s="103"/>
      <c r="G37" s="203"/>
      <c r="H37" s="232" t="s">
        <v>59</v>
      </c>
      <c r="I37" s="233"/>
      <c r="J37" s="104"/>
      <c r="K37" s="204"/>
      <c r="L37" s="81"/>
      <c r="M37" s="83"/>
      <c r="N37" s="85"/>
      <c r="O37" s="85"/>
    </row>
    <row r="38" spans="2:15" hidden="1" x14ac:dyDescent="0.2">
      <c r="B38" s="137"/>
      <c r="C38" s="105" t="s">
        <v>18</v>
      </c>
      <c r="D38" s="106" t="s">
        <v>13</v>
      </c>
      <c r="E38" s="107" t="s">
        <v>22</v>
      </c>
      <c r="F38" s="103"/>
      <c r="G38" s="203"/>
      <c r="H38" s="204"/>
      <c r="I38" s="205" t="s">
        <v>18</v>
      </c>
      <c r="J38" s="104" t="s">
        <v>13</v>
      </c>
      <c r="K38" s="158" t="s">
        <v>22</v>
      </c>
      <c r="L38" s="81"/>
      <c r="M38" s="83"/>
      <c r="N38" s="85"/>
      <c r="O38" s="85"/>
    </row>
    <row r="39" spans="2:15" hidden="1" x14ac:dyDescent="0.2">
      <c r="B39" s="162">
        <v>1</v>
      </c>
      <c r="C39" s="152" t="s">
        <v>61</v>
      </c>
      <c r="D39" s="108">
        <v>130</v>
      </c>
      <c r="E39" s="109">
        <v>24000</v>
      </c>
      <c r="F39" s="103"/>
      <c r="G39" s="203"/>
      <c r="H39" s="159" t="s">
        <v>15</v>
      </c>
      <c r="I39" s="163" t="s">
        <v>151</v>
      </c>
      <c r="J39" s="161">
        <v>131</v>
      </c>
      <c r="K39" s="160">
        <f>IF($I$27&gt;=130,60000,IF($I$27&gt;=113,AVERAGE($O$57:$O$60),IF($I$27&gt;=104,AVERAGE($O$56:$O$57),IF($I$27&gt;=95,AVERAGE($O$55:$O$56),IF($I$27&gt;=86,AVERAGE($O$54:$O$55),IF($I$27&gt;=77,AVERAGE($O$53:$O$54),IF($I$27&lt;77,$O$53,0)))))))</f>
        <v>90945</v>
      </c>
      <c r="L39" s="88"/>
      <c r="M39" s="83"/>
      <c r="N39" s="85"/>
      <c r="O39" s="85"/>
    </row>
    <row r="40" spans="2:15" hidden="1" x14ac:dyDescent="0.2">
      <c r="B40" s="164">
        <v>2</v>
      </c>
      <c r="C40" s="153" t="s">
        <v>62</v>
      </c>
      <c r="D40" s="110">
        <v>188</v>
      </c>
      <c r="E40" s="111">
        <v>24000</v>
      </c>
      <c r="F40" s="112"/>
      <c r="G40" s="203"/>
      <c r="H40" s="159" t="s">
        <v>16</v>
      </c>
      <c r="I40" s="163" t="s">
        <v>152</v>
      </c>
      <c r="J40" s="161">
        <v>168</v>
      </c>
      <c r="K40" s="160">
        <f>IF($I$27&gt;=130,60000,IF($I$27&gt;=113,AVERAGE($O$57:$O$60),IF($I$27&gt;=104,AVERAGE($O$56:$O$57),IF($I$27&gt;=95,AVERAGE($O$55:$O$56),IF($I$27&gt;=86,AVERAGE($O$54:$O$55),IF($I$27&gt;=77,AVERAGE($O$53:$O$54),IF($I$27&lt;77,$O$53,0)))))))</f>
        <v>90945</v>
      </c>
      <c r="L40" s="88"/>
      <c r="M40" s="83"/>
      <c r="N40" s="85"/>
      <c r="O40" s="85"/>
    </row>
    <row r="41" spans="2:15" hidden="1" x14ac:dyDescent="0.2">
      <c r="B41" s="164">
        <v>3</v>
      </c>
      <c r="C41" s="153" t="s">
        <v>72</v>
      </c>
      <c r="D41" s="110">
        <v>240</v>
      </c>
      <c r="E41" s="111">
        <v>24000</v>
      </c>
      <c r="F41" s="112"/>
      <c r="G41" s="203"/>
      <c r="H41" s="159" t="s">
        <v>17</v>
      </c>
      <c r="I41" s="163" t="s">
        <v>153</v>
      </c>
      <c r="J41" s="161">
        <v>196</v>
      </c>
      <c r="K41" s="160">
        <f>IF($I$27&gt;=130,60000,IF($I$27&gt;=113,AVERAGE($O$57:$O$60),IF($I$27&gt;=104,AVERAGE($O$56:$O$57),IF($I$27&gt;=95,AVERAGE($O$55:$O$56),IF($I$27&gt;=86,AVERAGE($O$54:$O$55),IF($I$27&gt;=77,AVERAGE($O$53:$O$54),IF($I$27&lt;77,$O$53,0)))))))</f>
        <v>90945</v>
      </c>
      <c r="L41" s="88"/>
      <c r="M41" s="83"/>
      <c r="N41" s="85"/>
      <c r="O41" s="85"/>
    </row>
    <row r="42" spans="2:15" hidden="1" x14ac:dyDescent="0.2">
      <c r="B42" s="164">
        <v>4</v>
      </c>
      <c r="C42" s="153" t="s">
        <v>73</v>
      </c>
      <c r="D42" s="110">
        <v>295</v>
      </c>
      <c r="E42" s="111">
        <v>24000</v>
      </c>
      <c r="F42" s="203"/>
      <c r="G42" s="203"/>
      <c r="H42" s="159" t="s">
        <v>60</v>
      </c>
      <c r="I42" s="163" t="s">
        <v>154</v>
      </c>
      <c r="J42" s="161">
        <v>232</v>
      </c>
      <c r="K42" s="160">
        <f>IF($I$27&gt;=130,60000,IF($I$27&gt;=113,AVERAGE($O$57:$O$60),IF($I$27&gt;=104,AVERAGE($O$56:$O$57),IF($I$27&gt;=95,AVERAGE($O$55:$O$56),IF($I$27&gt;=86,AVERAGE($O$54:$O$55),IF($I$27&gt;=77,AVERAGE($O$53:$O$54),IF($I$27&lt;77,$O$53,0)))))))</f>
        <v>90945</v>
      </c>
      <c r="L42" s="81"/>
      <c r="M42" s="83"/>
      <c r="N42" s="85"/>
      <c r="O42" s="85"/>
    </row>
    <row r="43" spans="2:15" hidden="1" x14ac:dyDescent="0.2">
      <c r="B43" s="164">
        <v>5</v>
      </c>
      <c r="C43" s="153" t="s">
        <v>140</v>
      </c>
      <c r="D43" s="110">
        <v>365</v>
      </c>
      <c r="E43" s="111">
        <v>24000</v>
      </c>
      <c r="F43" s="203"/>
      <c r="G43" s="203"/>
      <c r="H43" s="190"/>
      <c r="I43" s="209"/>
      <c r="J43" s="191"/>
      <c r="K43" s="191"/>
      <c r="L43" s="81"/>
      <c r="M43" s="83"/>
      <c r="N43" s="85"/>
      <c r="O43" s="85"/>
    </row>
    <row r="44" spans="2:15" hidden="1" x14ac:dyDescent="0.2">
      <c r="B44" s="164">
        <v>6</v>
      </c>
      <c r="C44" s="153" t="s">
        <v>141</v>
      </c>
      <c r="D44" s="110">
        <v>464</v>
      </c>
      <c r="E44" s="111">
        <v>24000</v>
      </c>
      <c r="F44" s="203"/>
      <c r="G44" s="203"/>
      <c r="H44" s="190"/>
      <c r="I44" s="209"/>
      <c r="J44" s="191"/>
      <c r="K44" s="191"/>
      <c r="L44" s="81"/>
      <c r="M44" s="83"/>
      <c r="N44" s="85"/>
      <c r="O44" s="85"/>
    </row>
    <row r="45" spans="2:15" hidden="1" x14ac:dyDescent="0.2">
      <c r="B45" s="164">
        <v>7</v>
      </c>
      <c r="C45" s="153" t="s">
        <v>142</v>
      </c>
      <c r="D45" s="110">
        <v>670</v>
      </c>
      <c r="E45" s="111">
        <v>24000</v>
      </c>
      <c r="F45" s="203"/>
      <c r="G45" s="203"/>
      <c r="H45" s="190"/>
      <c r="I45" s="209"/>
      <c r="J45" s="191"/>
      <c r="K45" s="191"/>
      <c r="L45" s="81"/>
      <c r="M45" s="83"/>
      <c r="N45" s="85"/>
      <c r="O45" s="85"/>
    </row>
    <row r="46" spans="2:15" hidden="1" x14ac:dyDescent="0.2">
      <c r="B46" s="164">
        <v>8</v>
      </c>
      <c r="C46" s="153" t="s">
        <v>143</v>
      </c>
      <c r="D46" s="110">
        <v>840</v>
      </c>
      <c r="E46" s="111">
        <v>24000</v>
      </c>
      <c r="F46" s="203"/>
      <c r="G46" s="203"/>
      <c r="H46" s="190"/>
      <c r="I46" s="209"/>
      <c r="J46" s="191"/>
      <c r="K46" s="191"/>
      <c r="L46" s="81"/>
      <c r="M46" s="83"/>
      <c r="N46" s="85"/>
      <c r="O46" s="85"/>
    </row>
    <row r="47" spans="2:15" hidden="1" x14ac:dyDescent="0.2">
      <c r="B47" s="164">
        <v>9</v>
      </c>
      <c r="C47" s="153" t="s">
        <v>63</v>
      </c>
      <c r="D47" s="110">
        <v>125</v>
      </c>
      <c r="E47" s="111">
        <v>24000</v>
      </c>
      <c r="F47" s="203"/>
      <c r="G47" s="203"/>
      <c r="H47" s="190"/>
      <c r="I47" s="209"/>
      <c r="J47" s="191"/>
      <c r="K47" s="191"/>
      <c r="L47" s="81"/>
      <c r="M47" s="83"/>
      <c r="N47" s="85"/>
      <c r="O47" s="85"/>
    </row>
    <row r="48" spans="2:15" hidden="1" x14ac:dyDescent="0.2">
      <c r="B48" s="164">
        <v>10</v>
      </c>
      <c r="C48" s="153" t="s">
        <v>64</v>
      </c>
      <c r="D48" s="110">
        <v>205</v>
      </c>
      <c r="E48" s="111">
        <v>24000</v>
      </c>
      <c r="F48" s="203"/>
      <c r="G48" s="203"/>
      <c r="H48" s="190"/>
      <c r="I48" s="193"/>
      <c r="J48" s="191"/>
      <c r="K48" s="191"/>
      <c r="L48" s="81"/>
      <c r="M48" s="83"/>
      <c r="N48" s="85"/>
      <c r="O48" s="85"/>
    </row>
    <row r="49" spans="2:15" hidden="1" x14ac:dyDescent="0.2">
      <c r="B49" s="164">
        <v>11</v>
      </c>
      <c r="C49" s="153" t="s">
        <v>65</v>
      </c>
      <c r="D49" s="110">
        <v>285</v>
      </c>
      <c r="E49" s="111">
        <v>24000</v>
      </c>
      <c r="F49" s="203"/>
      <c r="G49" s="203"/>
      <c r="H49" s="190"/>
      <c r="I49" s="193"/>
      <c r="J49" s="192"/>
      <c r="K49" s="191"/>
      <c r="L49" s="81"/>
      <c r="M49" s="83"/>
      <c r="N49" s="85"/>
      <c r="O49" s="85"/>
    </row>
    <row r="50" spans="2:15" hidden="1" x14ac:dyDescent="0.2">
      <c r="B50" s="164">
        <v>12</v>
      </c>
      <c r="C50" s="153" t="s">
        <v>78</v>
      </c>
      <c r="D50" s="110">
        <v>372</v>
      </c>
      <c r="E50" s="111">
        <v>30000</v>
      </c>
      <c r="F50" s="203"/>
      <c r="G50" s="203"/>
      <c r="H50" s="190"/>
      <c r="I50" s="193"/>
      <c r="J50" s="192"/>
      <c r="K50" s="191"/>
      <c r="L50" s="81"/>
      <c r="M50" s="83"/>
      <c r="N50" s="85"/>
      <c r="O50" s="85"/>
    </row>
    <row r="51" spans="2:15" ht="12.75" hidden="1" customHeight="1" x14ac:dyDescent="0.2">
      <c r="B51" s="164">
        <v>13</v>
      </c>
      <c r="C51" s="153" t="s">
        <v>66</v>
      </c>
      <c r="D51" s="110">
        <v>90</v>
      </c>
      <c r="E51" s="111">
        <v>15000</v>
      </c>
      <c r="F51" s="203"/>
      <c r="G51" s="203"/>
      <c r="H51" s="203"/>
      <c r="I51" s="127"/>
      <c r="J51" s="215" t="s">
        <v>104</v>
      </c>
      <c r="K51" s="216"/>
      <c r="L51" s="216"/>
      <c r="M51" s="216"/>
      <c r="N51" s="216"/>
      <c r="O51" s="169"/>
    </row>
    <row r="52" spans="2:15" ht="12.75" hidden="1" customHeight="1" x14ac:dyDescent="0.2">
      <c r="B52" s="164">
        <v>14</v>
      </c>
      <c r="C52" s="153" t="s">
        <v>67</v>
      </c>
      <c r="D52" s="110">
        <v>125</v>
      </c>
      <c r="E52" s="111">
        <v>15000</v>
      </c>
      <c r="F52" s="203"/>
      <c r="G52" s="203"/>
      <c r="H52" s="203"/>
      <c r="I52" s="127"/>
      <c r="J52" s="173" t="s">
        <v>105</v>
      </c>
      <c r="K52" s="170" t="s">
        <v>106</v>
      </c>
      <c r="L52" s="170" t="s">
        <v>107</v>
      </c>
      <c r="M52" s="170" t="s">
        <v>108</v>
      </c>
      <c r="N52" s="170" t="s">
        <v>109</v>
      </c>
      <c r="O52" s="170" t="s">
        <v>110</v>
      </c>
    </row>
    <row r="53" spans="2:15" ht="12.75" hidden="1" x14ac:dyDescent="0.2">
      <c r="B53" s="164">
        <v>15</v>
      </c>
      <c r="C53" s="153" t="s">
        <v>68</v>
      </c>
      <c r="D53" s="110">
        <v>185</v>
      </c>
      <c r="E53" s="111">
        <v>15000</v>
      </c>
      <c r="F53" s="203"/>
      <c r="G53" s="203"/>
      <c r="H53" s="203"/>
      <c r="I53" s="127"/>
      <c r="J53" s="174" t="s">
        <v>111</v>
      </c>
      <c r="K53" s="171" t="s">
        <v>112</v>
      </c>
      <c r="L53" s="172">
        <v>453000</v>
      </c>
      <c r="M53" s="172">
        <v>191177.60000000001</v>
      </c>
      <c r="N53" s="172">
        <f t="shared" ref="N53:N58" si="0">M53*90%</f>
        <v>172059.84</v>
      </c>
      <c r="O53" s="172">
        <f t="shared" ref="O53:O58" si="1">N53</f>
        <v>172059.84</v>
      </c>
    </row>
    <row r="54" spans="2:15" ht="12.75" hidden="1" x14ac:dyDescent="0.2">
      <c r="B54" s="164">
        <v>16</v>
      </c>
      <c r="C54" s="153" t="s">
        <v>69</v>
      </c>
      <c r="D54" s="110">
        <v>208</v>
      </c>
      <c r="E54" s="111">
        <v>15000</v>
      </c>
      <c r="F54" s="203"/>
      <c r="G54" s="203"/>
      <c r="H54" s="203"/>
      <c r="I54" s="127"/>
      <c r="J54" s="174" t="s">
        <v>113</v>
      </c>
      <c r="K54" s="171" t="s">
        <v>114</v>
      </c>
      <c r="L54" s="172">
        <v>469000</v>
      </c>
      <c r="M54" s="172">
        <v>159314.66666666666</v>
      </c>
      <c r="N54" s="172">
        <f t="shared" si="0"/>
        <v>143383.19999999998</v>
      </c>
      <c r="O54" s="172">
        <f t="shared" si="1"/>
        <v>143383.19999999998</v>
      </c>
    </row>
    <row r="55" spans="2:15" ht="12.75" hidden="1" x14ac:dyDescent="0.2">
      <c r="B55" s="164">
        <v>17</v>
      </c>
      <c r="C55" s="153" t="s">
        <v>70</v>
      </c>
      <c r="D55" s="110">
        <v>288</v>
      </c>
      <c r="E55" s="111">
        <v>20000</v>
      </c>
      <c r="F55" s="203"/>
      <c r="G55" s="203"/>
      <c r="H55" s="203"/>
      <c r="I55" s="127"/>
      <c r="J55" s="174" t="s">
        <v>115</v>
      </c>
      <c r="K55" s="171" t="s">
        <v>116</v>
      </c>
      <c r="L55" s="172">
        <v>485000</v>
      </c>
      <c r="M55" s="172">
        <v>136555.42857142858</v>
      </c>
      <c r="N55" s="172">
        <f t="shared" si="0"/>
        <v>122899.88571428573</v>
      </c>
      <c r="O55" s="172">
        <f t="shared" si="1"/>
        <v>122899.88571428573</v>
      </c>
    </row>
    <row r="56" spans="2:15" ht="12.75" hidden="1" x14ac:dyDescent="0.2">
      <c r="B56" s="164">
        <v>18</v>
      </c>
      <c r="C56" s="153" t="s">
        <v>71</v>
      </c>
      <c r="D56" s="110">
        <v>368</v>
      </c>
      <c r="E56" s="111">
        <v>20000</v>
      </c>
      <c r="F56" s="203"/>
      <c r="G56" s="203"/>
      <c r="H56" s="203"/>
      <c r="I56" s="127"/>
      <c r="J56" s="174" t="s">
        <v>117</v>
      </c>
      <c r="K56" s="171" t="s">
        <v>118</v>
      </c>
      <c r="L56" s="172">
        <v>501000</v>
      </c>
      <c r="M56" s="172">
        <v>119486</v>
      </c>
      <c r="N56" s="172">
        <f t="shared" si="0"/>
        <v>107537.40000000001</v>
      </c>
      <c r="O56" s="172">
        <f t="shared" si="1"/>
        <v>107537.40000000001</v>
      </c>
    </row>
    <row r="57" spans="2:15" ht="12.75" hidden="1" x14ac:dyDescent="0.2">
      <c r="B57" s="164">
        <v>19</v>
      </c>
      <c r="C57" s="153" t="s">
        <v>77</v>
      </c>
      <c r="D57" s="110">
        <v>452</v>
      </c>
      <c r="E57" s="111">
        <v>20000</v>
      </c>
      <c r="F57" s="203"/>
      <c r="G57" s="203"/>
      <c r="H57" s="203"/>
      <c r="I57" s="127"/>
      <c r="J57" s="174" t="s">
        <v>119</v>
      </c>
      <c r="K57" s="171" t="s">
        <v>120</v>
      </c>
      <c r="L57" s="172">
        <v>503000</v>
      </c>
      <c r="M57" s="172">
        <v>82614</v>
      </c>
      <c r="N57" s="172">
        <f t="shared" si="0"/>
        <v>74352.600000000006</v>
      </c>
      <c r="O57" s="172">
        <f t="shared" si="1"/>
        <v>74352.600000000006</v>
      </c>
    </row>
    <row r="58" spans="2:15" ht="12.75" hidden="1" x14ac:dyDescent="0.2">
      <c r="B58" s="164">
        <v>20</v>
      </c>
      <c r="C58" s="153" t="s">
        <v>144</v>
      </c>
      <c r="D58" s="110">
        <v>820</v>
      </c>
      <c r="E58" s="111">
        <v>15000</v>
      </c>
      <c r="F58" s="203"/>
      <c r="G58" s="203"/>
      <c r="H58" s="203"/>
      <c r="I58" s="127"/>
      <c r="J58" s="210" t="s">
        <v>121</v>
      </c>
      <c r="K58" s="211" t="s">
        <v>122</v>
      </c>
      <c r="L58" s="212">
        <v>417000</v>
      </c>
      <c r="M58" s="212">
        <v>64178</v>
      </c>
      <c r="N58" s="212">
        <f t="shared" si="0"/>
        <v>57760.200000000004</v>
      </c>
      <c r="O58" s="212">
        <f t="shared" si="1"/>
        <v>57760.200000000004</v>
      </c>
    </row>
    <row r="59" spans="2:15" ht="12.75" hidden="1" x14ac:dyDescent="0.2">
      <c r="B59" s="164">
        <v>21</v>
      </c>
      <c r="C59" s="153" t="s">
        <v>145</v>
      </c>
      <c r="D59" s="110">
        <v>945</v>
      </c>
      <c r="E59" s="111">
        <v>15000</v>
      </c>
      <c r="F59" s="203"/>
      <c r="G59" s="203"/>
      <c r="H59" s="203"/>
      <c r="I59" s="127"/>
      <c r="J59" s="213"/>
      <c r="K59" s="213"/>
      <c r="L59" s="214"/>
      <c r="M59" s="214"/>
      <c r="N59" s="214"/>
      <c r="O59" s="214"/>
    </row>
    <row r="60" spans="2:15" ht="12.75" hidden="1" x14ac:dyDescent="0.2">
      <c r="B60" s="164">
        <v>22</v>
      </c>
      <c r="C60" s="153" t="s">
        <v>146</v>
      </c>
      <c r="D60" s="110">
        <v>1080</v>
      </c>
      <c r="E60" s="111">
        <v>15000</v>
      </c>
      <c r="F60" s="203"/>
      <c r="G60" s="203"/>
      <c r="H60" s="203"/>
      <c r="I60" s="127"/>
      <c r="J60" s="213"/>
      <c r="K60" s="213"/>
      <c r="L60" s="214"/>
      <c r="M60" s="214"/>
      <c r="N60" s="214"/>
      <c r="O60" s="214"/>
    </row>
    <row r="61" spans="2:15" hidden="1" x14ac:dyDescent="0.2">
      <c r="B61" s="164">
        <v>23</v>
      </c>
      <c r="C61" s="153" t="s">
        <v>133</v>
      </c>
      <c r="D61" s="110">
        <v>59.8</v>
      </c>
      <c r="E61" s="111">
        <v>100000</v>
      </c>
      <c r="F61" s="203"/>
      <c r="G61" s="203"/>
      <c r="H61" s="203"/>
      <c r="I61" s="127"/>
      <c r="J61" s="197"/>
      <c r="K61" s="197"/>
      <c r="L61" s="197"/>
      <c r="M61" s="197"/>
      <c r="N61" s="197"/>
      <c r="O61" s="197"/>
    </row>
    <row r="62" spans="2:15" ht="12.75" hidden="1" x14ac:dyDescent="0.2">
      <c r="B62" s="164">
        <v>21</v>
      </c>
      <c r="C62" s="153" t="s">
        <v>134</v>
      </c>
      <c r="D62" s="110">
        <v>92</v>
      </c>
      <c r="E62" s="111">
        <v>100000</v>
      </c>
      <c r="F62" s="203"/>
      <c r="G62" s="203"/>
      <c r="H62" s="203"/>
      <c r="I62" s="127"/>
      <c r="J62" s="213"/>
      <c r="K62" s="213"/>
      <c r="L62" s="214"/>
      <c r="M62" s="214"/>
      <c r="N62" s="214"/>
      <c r="O62" s="214"/>
    </row>
    <row r="63" spans="2:15" ht="12.75" hidden="1" x14ac:dyDescent="0.2">
      <c r="B63" s="164">
        <v>22</v>
      </c>
      <c r="C63" s="153" t="s">
        <v>135</v>
      </c>
      <c r="D63" s="110">
        <v>162</v>
      </c>
      <c r="E63" s="111">
        <v>100000</v>
      </c>
      <c r="F63" s="203"/>
      <c r="G63" s="203"/>
      <c r="H63" s="203"/>
      <c r="I63" s="127"/>
      <c r="J63" s="213"/>
      <c r="K63" s="213"/>
      <c r="L63" s="214"/>
      <c r="M63" s="214"/>
      <c r="N63" s="214"/>
      <c r="O63" s="214"/>
    </row>
    <row r="64" spans="2:15" hidden="1" x14ac:dyDescent="0.2">
      <c r="B64" s="164">
        <v>23</v>
      </c>
      <c r="C64" s="153" t="s">
        <v>85</v>
      </c>
      <c r="D64" s="110">
        <v>90</v>
      </c>
      <c r="E64" s="111">
        <v>15000</v>
      </c>
      <c r="F64" s="203"/>
      <c r="G64" s="203"/>
      <c r="H64" s="203"/>
      <c r="I64" s="127"/>
      <c r="J64" s="85"/>
      <c r="K64" s="85"/>
      <c r="M64" s="85"/>
      <c r="N64" s="85"/>
      <c r="O64" s="85"/>
    </row>
    <row r="65" spans="2:15" hidden="1" x14ac:dyDescent="0.2">
      <c r="B65" s="164">
        <v>24</v>
      </c>
      <c r="C65" s="153" t="s">
        <v>86</v>
      </c>
      <c r="D65" s="110">
        <v>125</v>
      </c>
      <c r="E65" s="111">
        <v>15000</v>
      </c>
      <c r="F65" s="203"/>
      <c r="G65" s="203"/>
      <c r="H65" s="203"/>
      <c r="I65" s="127"/>
      <c r="J65" s="85"/>
      <c r="K65" s="85"/>
      <c r="M65" s="85"/>
      <c r="N65" s="85"/>
      <c r="O65" s="85"/>
    </row>
    <row r="66" spans="2:15" hidden="1" x14ac:dyDescent="0.2">
      <c r="B66" s="164">
        <v>25</v>
      </c>
      <c r="C66" s="153" t="s">
        <v>87</v>
      </c>
      <c r="D66" s="110">
        <v>185</v>
      </c>
      <c r="E66" s="111">
        <v>15000</v>
      </c>
      <c r="F66" s="203"/>
      <c r="G66" s="203"/>
      <c r="H66" s="203"/>
      <c r="I66" s="127"/>
      <c r="J66" s="83"/>
      <c r="K66" s="83"/>
      <c r="L66" s="81"/>
      <c r="M66" s="83"/>
      <c r="N66" s="85"/>
      <c r="O66" s="85"/>
    </row>
    <row r="67" spans="2:15" hidden="1" x14ac:dyDescent="0.2">
      <c r="B67" s="164">
        <v>26</v>
      </c>
      <c r="C67" s="153" t="s">
        <v>88</v>
      </c>
      <c r="D67" s="110">
        <v>208</v>
      </c>
      <c r="E67" s="111">
        <v>15000</v>
      </c>
      <c r="F67" s="203"/>
      <c r="G67" s="203"/>
      <c r="H67" s="203"/>
      <c r="I67" s="127"/>
      <c r="J67" s="83"/>
      <c r="K67" s="83"/>
      <c r="L67" s="81"/>
      <c r="M67" s="83"/>
      <c r="N67" s="85"/>
      <c r="O67" s="85"/>
    </row>
    <row r="68" spans="2:15" hidden="1" x14ac:dyDescent="0.2">
      <c r="B68" s="164">
        <v>27</v>
      </c>
      <c r="C68" s="153" t="s">
        <v>89</v>
      </c>
      <c r="D68" s="110">
        <v>288</v>
      </c>
      <c r="E68" s="111">
        <v>15000</v>
      </c>
      <c r="F68" s="203"/>
      <c r="G68" s="203"/>
      <c r="H68" s="203"/>
      <c r="I68" s="127"/>
      <c r="J68" s="83"/>
      <c r="K68" s="83"/>
      <c r="L68" s="81"/>
      <c r="M68" s="83"/>
      <c r="N68" s="85"/>
      <c r="O68" s="85"/>
    </row>
    <row r="69" spans="2:15" hidden="1" x14ac:dyDescent="0.2">
      <c r="B69" s="164">
        <v>28</v>
      </c>
      <c r="C69" s="153" t="s">
        <v>90</v>
      </c>
      <c r="D69" s="110">
        <v>368</v>
      </c>
      <c r="E69" s="111">
        <v>20000</v>
      </c>
      <c r="F69" s="203"/>
      <c r="G69" s="138"/>
      <c r="H69" s="203"/>
      <c r="I69" s="127"/>
      <c r="J69" s="83"/>
      <c r="K69" s="83"/>
      <c r="L69" s="81"/>
      <c r="M69" s="83"/>
      <c r="N69" s="85"/>
      <c r="O69" s="85"/>
    </row>
    <row r="70" spans="2:15" hidden="1" x14ac:dyDescent="0.2">
      <c r="B70" s="164">
        <v>29</v>
      </c>
      <c r="C70" s="154" t="s">
        <v>91</v>
      </c>
      <c r="D70" s="115">
        <v>452</v>
      </c>
      <c r="E70" s="116">
        <v>20000</v>
      </c>
      <c r="F70" s="203"/>
      <c r="G70" s="138"/>
      <c r="H70" s="114"/>
      <c r="I70" s="127"/>
      <c r="J70" s="83"/>
      <c r="K70" s="83"/>
      <c r="L70" s="81"/>
      <c r="M70" s="83"/>
      <c r="N70" s="85"/>
      <c r="O70" s="85"/>
    </row>
    <row r="71" spans="2:15" hidden="1" x14ac:dyDescent="0.2">
      <c r="B71" s="164">
        <v>30</v>
      </c>
      <c r="C71" s="153" t="s">
        <v>147</v>
      </c>
      <c r="D71" s="110">
        <v>820</v>
      </c>
      <c r="E71" s="111">
        <v>15000</v>
      </c>
      <c r="F71" s="203"/>
      <c r="G71" s="138"/>
      <c r="H71" s="114"/>
      <c r="I71" s="127"/>
      <c r="J71" s="83"/>
      <c r="K71" s="83"/>
      <c r="L71" s="81"/>
      <c r="M71" s="83"/>
      <c r="N71" s="85"/>
      <c r="O71" s="85"/>
    </row>
    <row r="72" spans="2:15" hidden="1" x14ac:dyDescent="0.2">
      <c r="B72" s="164">
        <v>31</v>
      </c>
      <c r="C72" s="153" t="s">
        <v>148</v>
      </c>
      <c r="D72" s="110">
        <v>945</v>
      </c>
      <c r="E72" s="111">
        <v>15000</v>
      </c>
      <c r="F72" s="203"/>
      <c r="G72" s="138"/>
      <c r="H72" s="114"/>
      <c r="I72" s="127"/>
      <c r="J72" s="83"/>
      <c r="K72" s="83"/>
      <c r="L72" s="81"/>
      <c r="M72" s="83"/>
      <c r="N72" s="85"/>
      <c r="O72" s="85"/>
    </row>
    <row r="73" spans="2:15" hidden="1" x14ac:dyDescent="0.2">
      <c r="B73" s="165">
        <v>32</v>
      </c>
      <c r="C73" s="154" t="s">
        <v>149</v>
      </c>
      <c r="D73" s="115">
        <v>1080</v>
      </c>
      <c r="E73" s="116">
        <v>15000</v>
      </c>
      <c r="F73" s="203"/>
      <c r="G73" s="138"/>
      <c r="H73" s="114"/>
      <c r="I73" s="127"/>
      <c r="J73" s="83"/>
      <c r="K73" s="83"/>
      <c r="L73" s="81"/>
      <c r="M73" s="83"/>
      <c r="N73" s="85"/>
      <c r="O73" s="85"/>
    </row>
    <row r="74" spans="2:15" hidden="1" x14ac:dyDescent="0.2">
      <c r="B74" s="196"/>
      <c r="C74" s="197"/>
      <c r="D74" s="197"/>
      <c r="E74" s="197"/>
      <c r="F74" s="203"/>
      <c r="G74" s="138"/>
      <c r="H74" s="139"/>
      <c r="I74" s="127"/>
      <c r="J74" s="83"/>
      <c r="K74" s="83"/>
      <c r="L74" s="81"/>
      <c r="M74" s="83"/>
      <c r="N74" s="85"/>
      <c r="O74" s="85"/>
    </row>
    <row r="75" spans="2:15" x14ac:dyDescent="0.2">
      <c r="B75" s="202"/>
      <c r="C75" s="203"/>
      <c r="D75" s="203"/>
      <c r="E75" s="203"/>
      <c r="F75" s="203"/>
      <c r="G75" s="138"/>
      <c r="H75" s="140"/>
      <c r="I75" s="127"/>
      <c r="J75" s="83"/>
      <c r="K75" s="83"/>
      <c r="L75" s="81"/>
      <c r="M75" s="83"/>
      <c r="N75" s="85"/>
      <c r="O75" s="85"/>
    </row>
    <row r="76" spans="2:15" x14ac:dyDescent="0.2">
      <c r="B76" s="141" t="s">
        <v>34</v>
      </c>
      <c r="C76" s="203"/>
      <c r="D76" s="203"/>
      <c r="E76" s="203"/>
      <c r="F76" s="203"/>
      <c r="G76" s="203"/>
      <c r="H76" s="203"/>
      <c r="I76" s="127"/>
      <c r="J76" s="83"/>
      <c r="K76" s="83"/>
      <c r="L76" s="81"/>
      <c r="M76" s="83"/>
      <c r="N76" s="85"/>
      <c r="O76" s="85"/>
    </row>
    <row r="77" spans="2:15" x14ac:dyDescent="0.2">
      <c r="B77" s="142" t="s">
        <v>39</v>
      </c>
      <c r="C77" s="203"/>
      <c r="D77" s="203"/>
      <c r="E77" s="203"/>
      <c r="F77" s="203"/>
      <c r="G77" s="203"/>
      <c r="H77" s="203"/>
      <c r="I77" s="127"/>
      <c r="J77" s="83"/>
      <c r="K77" s="83"/>
      <c r="L77" s="81"/>
      <c r="M77" s="83"/>
      <c r="N77" s="85"/>
      <c r="O77" s="85"/>
    </row>
    <row r="78" spans="2:15" x14ac:dyDescent="0.2">
      <c r="B78" s="146" t="s">
        <v>28</v>
      </c>
      <c r="C78" s="203"/>
      <c r="D78" s="203"/>
      <c r="E78" s="203"/>
      <c r="F78" s="203"/>
      <c r="G78" s="203"/>
      <c r="H78" s="203"/>
      <c r="I78" s="127"/>
      <c r="J78" s="83"/>
      <c r="K78" s="83"/>
      <c r="L78" s="81"/>
      <c r="M78" s="83"/>
      <c r="N78" s="85"/>
      <c r="O78" s="85"/>
    </row>
    <row r="79" spans="2:15" ht="12" thickBot="1" x14ac:dyDescent="0.25">
      <c r="B79" s="147" t="s">
        <v>27</v>
      </c>
      <c r="C79" s="148"/>
      <c r="D79" s="148"/>
      <c r="E79" s="148"/>
      <c r="F79" s="148"/>
      <c r="G79" s="149"/>
      <c r="H79" s="148"/>
      <c r="I79" s="150"/>
      <c r="J79" s="83"/>
      <c r="K79" s="83"/>
      <c r="L79" s="81"/>
      <c r="M79" s="83"/>
      <c r="N79" s="85"/>
      <c r="O79" s="85"/>
    </row>
    <row r="80" spans="2:15" x14ac:dyDescent="0.2">
      <c r="C80" s="124"/>
      <c r="D80" s="124"/>
      <c r="E80" s="124"/>
      <c r="F80" s="124"/>
      <c r="G80" s="125"/>
      <c r="H80" s="124"/>
      <c r="I80" s="126"/>
      <c r="J80" s="83"/>
      <c r="K80" s="83"/>
      <c r="L80" s="81"/>
      <c r="M80" s="83"/>
      <c r="N80" s="85"/>
      <c r="O80" s="85"/>
    </row>
    <row r="81" spans="2:15" x14ac:dyDescent="0.2">
      <c r="C81" s="117"/>
      <c r="D81" s="117"/>
      <c r="E81" s="117"/>
      <c r="F81" s="117"/>
      <c r="G81" s="118"/>
      <c r="H81" s="117"/>
      <c r="I81" s="119"/>
      <c r="J81" s="83"/>
      <c r="K81" s="83"/>
      <c r="L81" s="81"/>
      <c r="M81" s="83"/>
      <c r="N81" s="85"/>
      <c r="O81" s="85"/>
    </row>
    <row r="82" spans="2:15" x14ac:dyDescent="0.2">
      <c r="C82" s="117"/>
      <c r="D82" s="117"/>
      <c r="E82" s="117"/>
      <c r="F82" s="117"/>
      <c r="G82" s="118"/>
      <c r="H82" s="117"/>
      <c r="I82" s="119"/>
      <c r="J82" s="83"/>
      <c r="K82" s="83"/>
      <c r="L82" s="81"/>
      <c r="M82" s="83"/>
      <c r="N82" s="85"/>
      <c r="O82" s="85"/>
    </row>
    <row r="83" spans="2:15" x14ac:dyDescent="0.2">
      <c r="B83" s="120"/>
      <c r="C83" s="120"/>
      <c r="D83" s="120"/>
      <c r="E83" s="120"/>
      <c r="F83" s="120"/>
      <c r="G83" s="121"/>
      <c r="H83" s="120"/>
      <c r="I83" s="122"/>
      <c r="J83" s="83"/>
      <c r="K83" s="83"/>
      <c r="L83" s="81"/>
      <c r="M83" s="83"/>
      <c r="N83" s="85"/>
      <c r="O83" s="85"/>
    </row>
    <row r="84" spans="2:15" x14ac:dyDescent="0.2">
      <c r="B84" s="82"/>
      <c r="C84" s="82"/>
      <c r="D84" s="82"/>
      <c r="E84" s="82"/>
      <c r="F84" s="82"/>
      <c r="G84" s="82"/>
      <c r="H84" s="82"/>
      <c r="I84" s="81"/>
      <c r="J84" s="83"/>
      <c r="K84" s="83"/>
      <c r="L84" s="81"/>
      <c r="M84" s="83"/>
      <c r="N84" s="85"/>
      <c r="O84" s="85"/>
    </row>
  </sheetData>
  <sheetProtection password="D833" sheet="1" objects="1" scenarios="1"/>
  <mergeCells count="28">
    <mergeCell ref="C17:H17"/>
    <mergeCell ref="C30:H30"/>
    <mergeCell ref="C18:H18"/>
    <mergeCell ref="C8:H8"/>
    <mergeCell ref="C10:H10"/>
    <mergeCell ref="C11:H11"/>
    <mergeCell ref="C12:H12"/>
    <mergeCell ref="C16:H16"/>
    <mergeCell ref="C9:H9"/>
    <mergeCell ref="C13:H13"/>
    <mergeCell ref="C14:H14"/>
    <mergeCell ref="C15:H15"/>
    <mergeCell ref="J51:N51"/>
    <mergeCell ref="C19:H19"/>
    <mergeCell ref="C20:H20"/>
    <mergeCell ref="C28:H28"/>
    <mergeCell ref="B3:I3"/>
    <mergeCell ref="C24:H24"/>
    <mergeCell ref="C25:H25"/>
    <mergeCell ref="C27:H27"/>
    <mergeCell ref="B37:C37"/>
    <mergeCell ref="B5:G5"/>
    <mergeCell ref="B4:I4"/>
    <mergeCell ref="C29:H29"/>
    <mergeCell ref="C36:H36"/>
    <mergeCell ref="H37:I37"/>
    <mergeCell ref="C6:H6"/>
    <mergeCell ref="C7:H7"/>
  </mergeCells>
  <phoneticPr fontId="2" type="noConversion"/>
  <dataValidations count="4">
    <dataValidation type="list" allowBlank="1" showInputMessage="1" showErrorMessage="1" sqref="I21 I31">
      <formula1>$J$21:$J$22</formula1>
    </dataValidation>
    <dataValidation type="list" allowBlank="1" showInputMessage="1" showErrorMessage="1" sqref="I28">
      <formula1>$I$39:$I$47</formula1>
    </dataValidation>
    <dataValidation type="list" allowBlank="1" showInputMessage="1" showErrorMessage="1" sqref="I7">
      <formula1>$C$39:$C$73</formula1>
    </dataValidation>
    <dataValidation type="whole" operator="lessThanOrEqual" allowBlank="1" showInputMessage="1" showErrorMessage="1" sqref="I27">
      <formula1>131</formula1>
    </dataValidation>
  </dataValidations>
  <pageMargins left="0.25" right="0.25" top="0.25" bottom="0.25" header="0.25" footer="0.2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66"/>
  <sheetViews>
    <sheetView zoomScale="90" zoomScaleNormal="90" zoomScaleSheetLayoutView="85" workbookViewId="0">
      <selection activeCell="K14" sqref="K14"/>
    </sheetView>
  </sheetViews>
  <sheetFormatPr defaultRowHeight="12.75" x14ac:dyDescent="0.2"/>
  <cols>
    <col min="1" max="1" width="9" style="1" customWidth="1"/>
    <col min="2" max="2" width="33" style="1" customWidth="1"/>
    <col min="3" max="3" width="17.42578125" style="1" customWidth="1"/>
    <col min="4" max="4" width="15.140625" style="1" customWidth="1"/>
    <col min="5" max="5" width="22.140625" style="1" customWidth="1"/>
    <col min="6" max="6" width="8.5703125" style="1" customWidth="1"/>
    <col min="7" max="7" width="13.5703125" style="1" customWidth="1"/>
    <col min="8" max="8" width="11" style="1" customWidth="1"/>
    <col min="9" max="9" width="8.140625" style="1" customWidth="1"/>
    <col min="10" max="10" width="10.28515625" style="1" customWidth="1"/>
    <col min="11" max="11" width="10.85546875" style="1" bestFit="1" customWidth="1"/>
    <col min="12" max="12" width="13.85546875" style="1" bestFit="1" customWidth="1"/>
    <col min="13" max="13" width="12.28515625" style="1" bestFit="1" customWidth="1"/>
    <col min="14" max="14" width="10.28515625" style="1" customWidth="1"/>
    <col min="15" max="16384" width="9.140625" style="1"/>
  </cols>
  <sheetData>
    <row r="1" spans="1:12" x14ac:dyDescent="0.2">
      <c r="A1" s="43"/>
      <c r="B1" s="43"/>
      <c r="C1" s="43"/>
      <c r="D1" s="43"/>
      <c r="E1" s="43"/>
      <c r="F1" s="43"/>
      <c r="G1" s="43"/>
      <c r="H1" s="43"/>
      <c r="I1" s="43"/>
    </row>
    <row r="2" spans="1:12" x14ac:dyDescent="0.2">
      <c r="A2" s="43"/>
      <c r="B2" s="43"/>
      <c r="C2" s="43"/>
      <c r="D2" s="43"/>
      <c r="E2" s="43"/>
      <c r="F2" s="43"/>
      <c r="G2" s="43"/>
      <c r="H2" s="43"/>
      <c r="I2" s="43"/>
    </row>
    <row r="3" spans="1:12" x14ac:dyDescent="0.2">
      <c r="A3" s="43"/>
      <c r="B3" s="43"/>
      <c r="C3" s="43"/>
      <c r="D3" s="43"/>
      <c r="E3" s="43"/>
      <c r="F3" s="43"/>
      <c r="G3" s="43"/>
      <c r="H3" s="43"/>
      <c r="I3" s="43"/>
    </row>
    <row r="4" spans="1:12" ht="18" customHeight="1" x14ac:dyDescent="0.2">
      <c r="A4" s="43"/>
      <c r="B4" s="43"/>
      <c r="C4" s="43"/>
      <c r="D4" s="43"/>
      <c r="E4" s="43"/>
      <c r="F4" s="43"/>
      <c r="G4" s="251" t="s">
        <v>41</v>
      </c>
      <c r="H4" s="252"/>
      <c r="I4" s="252"/>
    </row>
    <row r="5" spans="1:12" ht="17.25" customHeight="1" x14ac:dyDescent="0.2">
      <c r="A5" s="43"/>
      <c r="B5" s="43"/>
      <c r="C5" s="43"/>
      <c r="D5" s="43"/>
      <c r="E5" s="43"/>
      <c r="F5" s="43"/>
      <c r="G5" s="253"/>
      <c r="H5" s="254"/>
      <c r="I5" s="254"/>
    </row>
    <row r="6" spans="1:12" ht="22.5" customHeight="1" x14ac:dyDescent="0.2">
      <c r="A6" s="255" t="str">
        <f>'Input Sheet'!I6</f>
        <v>Customer Name</v>
      </c>
      <c r="B6" s="256"/>
      <c r="C6" s="256"/>
      <c r="D6" s="256"/>
      <c r="E6" s="256"/>
      <c r="F6" s="256"/>
      <c r="G6" s="256"/>
      <c r="H6" s="256"/>
      <c r="I6" s="256"/>
    </row>
    <row r="7" spans="1:12" ht="20.25" customHeight="1" x14ac:dyDescent="0.2">
      <c r="A7" s="257" t="s">
        <v>150</v>
      </c>
      <c r="B7" s="257"/>
      <c r="C7" s="257"/>
      <c r="D7" s="257"/>
      <c r="E7" s="257"/>
      <c r="F7" s="257"/>
      <c r="G7" s="257"/>
      <c r="H7" s="257"/>
      <c r="I7" s="257"/>
    </row>
    <row r="8" spans="1:12" ht="21.75" customHeight="1" x14ac:dyDescent="0.2">
      <c r="A8" s="263" t="s">
        <v>56</v>
      </c>
      <c r="B8" s="264"/>
      <c r="C8" s="264"/>
      <c r="D8" s="264"/>
      <c r="E8" s="264"/>
      <c r="F8" s="264"/>
      <c r="G8" s="264"/>
      <c r="H8" s="264"/>
      <c r="I8" s="265"/>
    </row>
    <row r="9" spans="1:12" ht="20.25" customHeight="1" x14ac:dyDescent="0.2">
      <c r="A9" s="239" t="s">
        <v>4</v>
      </c>
      <c r="B9" s="240"/>
      <c r="C9" s="240"/>
      <c r="D9" s="240"/>
      <c r="E9" s="241"/>
      <c r="F9" s="242" t="str">
        <f>'Input Sheet'!J7</f>
        <v>400W MH</v>
      </c>
      <c r="G9" s="242"/>
      <c r="H9" s="243" t="s">
        <v>0</v>
      </c>
      <c r="I9" s="243"/>
    </row>
    <row r="10" spans="1:12" ht="18" x14ac:dyDescent="0.2">
      <c r="A10" s="266" t="s">
        <v>1</v>
      </c>
      <c r="B10" s="267"/>
      <c r="C10" s="267"/>
      <c r="D10" s="267"/>
      <c r="E10" s="267"/>
      <c r="F10" s="268">
        <f>(('Input Sheet'!K20*'Input Sheet'!K7)/1000)*'Input Sheet'!I9</f>
        <v>59230.080000000002</v>
      </c>
      <c r="G10" s="272"/>
      <c r="H10" s="268">
        <f>IF('Input Sheet'!I31="YES",(('Input Sheet'!K21*'Input Sheet'!K28)/1000)*'Input Sheet'!I8,(('Input Sheet'!K20*'Input Sheet'!K28)/1000)*'Input Sheet'!I8)</f>
        <v>17166.239999999998</v>
      </c>
      <c r="I10" s="268"/>
      <c r="L10" s="44"/>
    </row>
    <row r="11" spans="1:12" ht="18" x14ac:dyDescent="0.2">
      <c r="A11" s="245" t="s">
        <v>2</v>
      </c>
      <c r="B11" s="246"/>
      <c r="C11" s="246"/>
      <c r="D11" s="246"/>
      <c r="E11" s="246"/>
      <c r="F11" s="268">
        <f>F10*'Input Sheet'!I19</f>
        <v>5923.0080000000007</v>
      </c>
      <c r="G11" s="272"/>
      <c r="H11" s="268">
        <f>H10*'Input Sheet'!I19</f>
        <v>1716.6239999999998</v>
      </c>
      <c r="I11" s="268"/>
    </row>
    <row r="12" spans="1:12" ht="18" x14ac:dyDescent="0.2">
      <c r="A12" s="261" t="s">
        <v>32</v>
      </c>
      <c r="B12" s="262"/>
      <c r="C12" s="262"/>
      <c r="D12" s="262"/>
      <c r="E12" s="262"/>
      <c r="F12" s="273">
        <f>F11*H19</f>
        <v>61660.710000000006</v>
      </c>
      <c r="G12" s="280"/>
      <c r="H12" s="273">
        <f>H11*H19</f>
        <v>17870.692499999997</v>
      </c>
      <c r="I12" s="273"/>
    </row>
    <row r="13" spans="1:12" ht="18" x14ac:dyDescent="0.2">
      <c r="A13" s="261" t="s">
        <v>123</v>
      </c>
      <c r="B13" s="262"/>
      <c r="C13" s="262"/>
      <c r="D13" s="262"/>
      <c r="E13" s="262"/>
      <c r="F13" s="269"/>
      <c r="G13" s="269"/>
      <c r="H13" s="270">
        <f>IF('Input Sheet'!I21="NO",0,(F10-H10)*('Input Sheet'!I22/52*'Input Sheet'!I23)/'Input Sheet'!I26)</f>
        <v>0</v>
      </c>
      <c r="I13" s="270"/>
    </row>
    <row r="14" spans="1:12" ht="18" x14ac:dyDescent="0.2">
      <c r="A14" s="261" t="s">
        <v>124</v>
      </c>
      <c r="B14" s="262"/>
      <c r="C14" s="262"/>
      <c r="D14" s="262"/>
      <c r="E14" s="262"/>
      <c r="F14" s="269"/>
      <c r="G14" s="269"/>
      <c r="H14" s="271">
        <f>H13*'Input Sheet'!I19</f>
        <v>0</v>
      </c>
      <c r="I14" s="271"/>
    </row>
    <row r="15" spans="1:12" ht="17.25" customHeight="1" x14ac:dyDescent="0.2">
      <c r="A15" s="237" t="s">
        <v>3</v>
      </c>
      <c r="B15" s="238"/>
      <c r="C15" s="238"/>
      <c r="D15" s="238"/>
      <c r="E15" s="238"/>
      <c r="F15" s="157"/>
      <c r="G15" s="157"/>
      <c r="H15" s="274">
        <f>(F11-H11)+H14</f>
        <v>4206.3840000000009</v>
      </c>
      <c r="I15" s="275"/>
    </row>
    <row r="16" spans="1:12" ht="15.75" customHeight="1" x14ac:dyDescent="0.2">
      <c r="A16" s="35" t="s">
        <v>29</v>
      </c>
      <c r="B16" s="36"/>
      <c r="C16" s="36"/>
      <c r="D16" s="36"/>
      <c r="E16" s="36"/>
      <c r="F16" s="38"/>
      <c r="G16" s="157"/>
      <c r="H16" s="274">
        <f>(F12-H12)+H14*H19</f>
        <v>43790.017500000009</v>
      </c>
      <c r="I16" s="275"/>
    </row>
    <row r="17" spans="1:10" ht="6" customHeight="1" x14ac:dyDescent="0.2">
      <c r="A17" s="4"/>
      <c r="B17" s="5"/>
      <c r="C17" s="5"/>
      <c r="D17" s="5"/>
      <c r="E17" s="5"/>
      <c r="F17" s="5"/>
      <c r="G17" s="5"/>
      <c r="H17" s="5"/>
      <c r="I17" s="6"/>
    </row>
    <row r="18" spans="1:10" ht="18" customHeight="1" x14ac:dyDescent="0.2">
      <c r="A18" s="239" t="s">
        <v>5</v>
      </c>
      <c r="B18" s="240"/>
      <c r="C18" s="240"/>
      <c r="D18" s="240"/>
      <c r="E18" s="241"/>
      <c r="F18" s="242" t="str">
        <f>F9</f>
        <v>400W MH</v>
      </c>
      <c r="G18" s="242"/>
      <c r="H18" s="243" t="s">
        <v>0</v>
      </c>
      <c r="I18" s="243"/>
    </row>
    <row r="19" spans="1:10" ht="18" customHeight="1" x14ac:dyDescent="0.2">
      <c r="A19" s="258" t="s">
        <v>35</v>
      </c>
      <c r="B19" s="259"/>
      <c r="C19" s="259"/>
      <c r="D19" s="259"/>
      <c r="E19" s="260"/>
      <c r="F19" s="276">
        <f>('Input Sheet'!L7*0.55)/'Input Sheet'!K20</f>
        <v>1.2591575091575091</v>
      </c>
      <c r="G19" s="277"/>
      <c r="H19" s="278">
        <f>IF('Input Sheet'!I31="NO",'Input Sheet'!L28/'Input Sheet'!K20,'Input Sheet'!L28/'Input Sheet'!K21)</f>
        <v>10.41037087912088</v>
      </c>
      <c r="I19" s="279"/>
    </row>
    <row r="20" spans="1:10" ht="18" x14ac:dyDescent="0.2">
      <c r="A20" s="245" t="s">
        <v>25</v>
      </c>
      <c r="B20" s="246"/>
      <c r="C20" s="246"/>
      <c r="D20" s="246"/>
      <c r="E20" s="246"/>
      <c r="F20" s="244">
        <f>(('Input Sheet'!I11+'Input Sheet'!I12)*'Input Sheet'!I9)/$F$19</f>
        <v>321.64363636363635</v>
      </c>
      <c r="G20" s="244"/>
      <c r="H20" s="247">
        <v>0</v>
      </c>
      <c r="I20" s="248"/>
    </row>
    <row r="21" spans="1:10" ht="18" x14ac:dyDescent="0.2">
      <c r="A21" s="245" t="s">
        <v>157</v>
      </c>
      <c r="B21" s="246"/>
      <c r="C21" s="246"/>
      <c r="D21" s="246"/>
      <c r="E21" s="246"/>
      <c r="F21" s="249">
        <f>('Input Sheet'!I13+'Input Sheet'!I15)*'Input Sheet'!I9/'Input Sheet'!I14</f>
        <v>171.42857142857142</v>
      </c>
      <c r="G21" s="250"/>
      <c r="H21" s="247">
        <v>0</v>
      </c>
      <c r="I21" s="248"/>
    </row>
    <row r="22" spans="1:10" ht="18" x14ac:dyDescent="0.2">
      <c r="A22" s="206" t="s">
        <v>82</v>
      </c>
      <c r="B22" s="207"/>
      <c r="C22" s="207"/>
      <c r="D22" s="207"/>
      <c r="E22" s="207"/>
      <c r="F22" s="244">
        <f>'Input Sheet'!I30/$F$19</f>
        <v>0</v>
      </c>
      <c r="G22" s="244"/>
      <c r="H22" s="247">
        <v>0</v>
      </c>
      <c r="I22" s="248"/>
    </row>
    <row r="23" spans="1:10" ht="18" x14ac:dyDescent="0.2">
      <c r="A23" s="245" t="s">
        <v>81</v>
      </c>
      <c r="B23" s="246"/>
      <c r="C23" s="246"/>
      <c r="D23" s="246"/>
      <c r="E23" s="246"/>
      <c r="F23" s="244">
        <f>('Input Sheet'!I9*'Input Sheet'!I16*'Input Sheet'!I17*'Input Sheet'!I18)/$F$19</f>
        <v>1786.909090909091</v>
      </c>
      <c r="G23" s="244"/>
      <c r="H23" s="247">
        <v>0</v>
      </c>
      <c r="I23" s="248"/>
      <c r="J23" s="45"/>
    </row>
    <row r="24" spans="1:10" ht="18" x14ac:dyDescent="0.2">
      <c r="A24" s="237" t="s">
        <v>83</v>
      </c>
      <c r="B24" s="238"/>
      <c r="C24" s="238"/>
      <c r="D24" s="238"/>
      <c r="E24" s="238"/>
      <c r="F24" s="281"/>
      <c r="G24" s="282"/>
      <c r="H24" s="287">
        <f>SUM(F20:G23)-SUM(H20:I23)</f>
        <v>2279.9812987012988</v>
      </c>
      <c r="I24" s="288"/>
      <c r="J24" s="155"/>
    </row>
    <row r="25" spans="1:10" ht="18" x14ac:dyDescent="0.2">
      <c r="A25" s="237" t="s">
        <v>84</v>
      </c>
      <c r="B25" s="238"/>
      <c r="C25" s="238"/>
      <c r="D25" s="238"/>
      <c r="E25" s="238"/>
      <c r="F25" s="283"/>
      <c r="G25" s="284"/>
      <c r="H25" s="285">
        <f>H24*H19</f>
        <v>23735.450916940204</v>
      </c>
      <c r="I25" s="286"/>
      <c r="J25" s="155"/>
    </row>
    <row r="26" spans="1:10" ht="8.25" customHeight="1" x14ac:dyDescent="0.2">
      <c r="A26" s="41"/>
      <c r="B26" s="42"/>
      <c r="C26" s="5"/>
      <c r="D26" s="5"/>
      <c r="E26" s="5"/>
      <c r="F26" s="5"/>
      <c r="G26" s="5"/>
      <c r="H26" s="5"/>
      <c r="I26" s="6"/>
    </row>
    <row r="27" spans="1:10" ht="19.5" customHeight="1" x14ac:dyDescent="0.2">
      <c r="A27" s="46"/>
      <c r="B27" s="46"/>
      <c r="C27" s="46"/>
      <c r="D27" s="46"/>
      <c r="E27" s="46"/>
      <c r="F27" s="2"/>
      <c r="G27" s="2"/>
      <c r="H27" s="47"/>
      <c r="I27" s="47"/>
    </row>
    <row r="28" spans="1:10" ht="21.95" customHeight="1" x14ac:dyDescent="0.2">
      <c r="A28" s="263" t="s">
        <v>42</v>
      </c>
      <c r="B28" s="264"/>
      <c r="C28" s="264"/>
      <c r="D28" s="264"/>
      <c r="E28" s="264"/>
      <c r="F28" s="264"/>
      <c r="G28" s="264"/>
      <c r="H28" s="264"/>
      <c r="I28" s="265"/>
    </row>
    <row r="29" spans="1:10" ht="6" customHeight="1" x14ac:dyDescent="0.2">
      <c r="A29" s="289"/>
      <c r="B29" s="290"/>
      <c r="C29" s="290"/>
      <c r="D29" s="290"/>
      <c r="E29" s="290"/>
      <c r="F29" s="290"/>
      <c r="G29" s="290"/>
      <c r="H29" s="290"/>
      <c r="I29" s="291"/>
    </row>
    <row r="30" spans="1:10" ht="19.5" customHeight="1" x14ac:dyDescent="0.2">
      <c r="A30" s="48"/>
      <c r="B30" s="33"/>
      <c r="C30" s="49" t="str">
        <f>F9</f>
        <v>400W MH</v>
      </c>
      <c r="D30" s="80" t="s">
        <v>43</v>
      </c>
      <c r="E30" s="72"/>
      <c r="F30" s="50"/>
      <c r="G30" s="301" t="s">
        <v>44</v>
      </c>
      <c r="H30" s="301"/>
      <c r="I30" s="51"/>
    </row>
    <row r="31" spans="1:10" ht="18" x14ac:dyDescent="0.2">
      <c r="A31" s="32"/>
      <c r="B31" s="52" t="s">
        <v>51</v>
      </c>
      <c r="C31" s="14">
        <f>'Input Sheet'!I9*'Input Sheet'!I10</f>
        <v>7500</v>
      </c>
      <c r="D31" s="15">
        <f>IF('Input Sheet'!I31="YES",('Input Sheet'!I29+'Input Sheet'!I33)*'Input Sheet'!I8,'Input Sheet'!I29*'Input Sheet'!I8)</f>
        <v>17055</v>
      </c>
      <c r="E31" s="73"/>
      <c r="F31" s="16" t="s">
        <v>46</v>
      </c>
      <c r="G31" s="302">
        <f>C35+C36-D35</f>
        <v>43790.017500000009</v>
      </c>
      <c r="H31" s="302"/>
      <c r="I31" s="51"/>
    </row>
    <row r="32" spans="1:10" ht="18" x14ac:dyDescent="0.2">
      <c r="A32" s="189"/>
      <c r="B32" s="52" t="s">
        <v>136</v>
      </c>
      <c r="C32" s="14">
        <v>0</v>
      </c>
      <c r="D32" s="31">
        <f>(-'Input Sheet'!I35)</f>
        <v>0</v>
      </c>
      <c r="E32" s="73"/>
      <c r="F32" s="16" t="s">
        <v>55</v>
      </c>
      <c r="G32" s="306">
        <f>C37</f>
        <v>23735.450916940204</v>
      </c>
      <c r="H32" s="307"/>
      <c r="I32" s="51"/>
    </row>
    <row r="33" spans="1:12" ht="18" x14ac:dyDescent="0.2">
      <c r="A33" s="32"/>
      <c r="B33" s="52" t="s">
        <v>52</v>
      </c>
      <c r="C33" s="14">
        <v>0</v>
      </c>
      <c r="D33" s="31">
        <f>(-'Input Sheet'!I36)</f>
        <v>0</v>
      </c>
      <c r="E33" s="74"/>
      <c r="F33" s="17" t="s">
        <v>47</v>
      </c>
      <c r="G33" s="303">
        <f>SUM(G31:H32)</f>
        <v>67525.468416940217</v>
      </c>
      <c r="H33" s="303"/>
      <c r="I33" s="51"/>
      <c r="J33" s="3"/>
    </row>
    <row r="34" spans="1:12" ht="18" x14ac:dyDescent="0.2">
      <c r="A34" s="32"/>
      <c r="B34" s="52" t="s">
        <v>53</v>
      </c>
      <c r="C34" s="14">
        <f>SUM(C31:C33)</f>
        <v>7500</v>
      </c>
      <c r="D34" s="31">
        <f>SUM(D31:D33)</f>
        <v>17055</v>
      </c>
      <c r="E34" s="73"/>
      <c r="F34" s="75" t="s">
        <v>45</v>
      </c>
      <c r="G34" s="304">
        <f>-D31</f>
        <v>-17055</v>
      </c>
      <c r="H34" s="305"/>
      <c r="I34" s="51"/>
      <c r="J34" s="3"/>
      <c r="K34" s="53"/>
    </row>
    <row r="35" spans="1:12" ht="18" x14ac:dyDescent="0.2">
      <c r="A35" s="32"/>
      <c r="B35" s="52" t="s">
        <v>125</v>
      </c>
      <c r="C35" s="14">
        <f>F12</f>
        <v>61660.710000000006</v>
      </c>
      <c r="D35" s="15">
        <f>H12</f>
        <v>17870.692499999997</v>
      </c>
      <c r="E35" s="73"/>
      <c r="F35" s="75" t="s">
        <v>127</v>
      </c>
      <c r="G35" s="297">
        <f>'Input Sheet'!I35</f>
        <v>0</v>
      </c>
      <c r="H35" s="298"/>
      <c r="I35" s="54"/>
      <c r="J35" s="3"/>
      <c r="K35" s="55"/>
    </row>
    <row r="36" spans="1:12" ht="18" x14ac:dyDescent="0.2">
      <c r="A36" s="175"/>
      <c r="B36" s="52" t="s">
        <v>126</v>
      </c>
      <c r="C36" s="14">
        <f>H14*H19</f>
        <v>0</v>
      </c>
      <c r="D36" s="15">
        <v>0</v>
      </c>
      <c r="E36" s="73"/>
      <c r="F36" s="75" t="s">
        <v>50</v>
      </c>
      <c r="G36" s="297">
        <f>'Input Sheet'!I36</f>
        <v>0</v>
      </c>
      <c r="H36" s="298"/>
      <c r="I36" s="54"/>
      <c r="J36" s="3"/>
      <c r="K36" s="55"/>
    </row>
    <row r="37" spans="1:12" ht="18" x14ac:dyDescent="0.2">
      <c r="A37" s="32"/>
      <c r="B37" s="52" t="s">
        <v>80</v>
      </c>
      <c r="C37" s="14">
        <f>H25</f>
        <v>23735.450916940204</v>
      </c>
      <c r="D37" s="15">
        <v>0</v>
      </c>
      <c r="E37" s="72"/>
      <c r="F37" s="17" t="s">
        <v>48</v>
      </c>
      <c r="G37" s="303">
        <f>SUM(G33:H36)</f>
        <v>50470.468416940217</v>
      </c>
      <c r="H37" s="303"/>
      <c r="I37" s="54"/>
      <c r="J37" s="3"/>
    </row>
    <row r="38" spans="1:12" ht="18" x14ac:dyDescent="0.2">
      <c r="A38" s="32"/>
      <c r="B38" s="17" t="s">
        <v>36</v>
      </c>
      <c r="C38" s="18">
        <f>SUM(C34:C37)</f>
        <v>92896.160916940207</v>
      </c>
      <c r="D38" s="18">
        <f>SUM(D34:D37)</f>
        <v>34925.692499999997</v>
      </c>
      <c r="E38" s="194"/>
      <c r="F38" s="194"/>
      <c r="G38" s="194"/>
      <c r="H38" s="194"/>
      <c r="I38" s="195"/>
      <c r="J38" s="3"/>
      <c r="L38" s="156"/>
    </row>
    <row r="39" spans="1:12" ht="17.25" customHeight="1" x14ac:dyDescent="0.2">
      <c r="A39" s="32"/>
      <c r="B39" s="17"/>
      <c r="C39" s="39"/>
      <c r="D39" s="39"/>
      <c r="E39" s="72"/>
      <c r="F39" s="17"/>
      <c r="G39" s="40"/>
      <c r="H39" s="40"/>
      <c r="I39" s="54"/>
      <c r="J39" s="3"/>
      <c r="K39" s="45"/>
      <c r="L39" s="156"/>
    </row>
    <row r="40" spans="1:12" ht="18" x14ac:dyDescent="0.2">
      <c r="A40" s="151"/>
      <c r="B40" s="292" t="s">
        <v>79</v>
      </c>
      <c r="C40" s="293"/>
      <c r="D40" s="293"/>
      <c r="E40" s="293"/>
      <c r="F40" s="294"/>
      <c r="G40" s="295">
        <f>(D34-C34)/(G33/H19)</f>
        <v>1.4730900219130585</v>
      </c>
      <c r="H40" s="296"/>
      <c r="I40" s="54"/>
      <c r="J40" s="3"/>
    </row>
    <row r="41" spans="1:12" ht="18" x14ac:dyDescent="0.2">
      <c r="A41" s="76"/>
      <c r="B41" s="292" t="s">
        <v>58</v>
      </c>
      <c r="C41" s="293"/>
      <c r="D41" s="293"/>
      <c r="E41" s="293"/>
      <c r="F41" s="294"/>
      <c r="G41" s="295">
        <f>D34/(G33/H19)</f>
        <v>2.6293616246705609</v>
      </c>
      <c r="H41" s="296"/>
      <c r="I41" s="77"/>
      <c r="J41" s="3"/>
      <c r="K41" s="45"/>
    </row>
    <row r="42" spans="1:12" ht="18" x14ac:dyDescent="0.2">
      <c r="A42" s="32"/>
      <c r="B42" s="10"/>
      <c r="C42" s="56"/>
      <c r="D42" s="56"/>
      <c r="E42" s="72"/>
      <c r="F42" s="78"/>
      <c r="G42" s="57"/>
      <c r="H42" s="58"/>
      <c r="I42" s="54"/>
      <c r="J42" s="3"/>
    </row>
    <row r="43" spans="1:12" ht="18" x14ac:dyDescent="0.2">
      <c r="A43" s="32"/>
      <c r="B43" s="33"/>
      <c r="C43" s="33"/>
      <c r="D43" s="59"/>
      <c r="E43" s="59"/>
      <c r="F43" s="59"/>
      <c r="G43" s="59"/>
      <c r="H43" s="59"/>
      <c r="I43" s="54"/>
      <c r="J43" s="3"/>
      <c r="K43" s="60"/>
    </row>
    <row r="44" spans="1:12" ht="18" x14ac:dyDescent="0.2">
      <c r="A44" s="32"/>
      <c r="B44" s="33"/>
      <c r="C44" s="33"/>
      <c r="D44" s="33"/>
      <c r="E44" s="33"/>
      <c r="F44" s="50"/>
      <c r="G44" s="50"/>
      <c r="H44" s="56"/>
      <c r="I44" s="54"/>
      <c r="J44" s="3"/>
      <c r="K44" s="61"/>
      <c r="L44" s="62"/>
    </row>
    <row r="45" spans="1:12" ht="18" x14ac:dyDescent="0.2">
      <c r="A45" s="32"/>
      <c r="B45" s="33"/>
      <c r="C45" s="33"/>
      <c r="D45" s="33"/>
      <c r="E45" s="33"/>
      <c r="F45" s="50"/>
      <c r="G45" s="50"/>
      <c r="H45" s="56"/>
      <c r="I45" s="54"/>
      <c r="J45" s="3"/>
      <c r="K45" s="60"/>
    </row>
    <row r="46" spans="1:12" ht="12.75" customHeight="1" x14ac:dyDescent="0.2">
      <c r="A46" s="32"/>
      <c r="B46" s="33"/>
      <c r="C46" s="33"/>
      <c r="D46" s="33"/>
      <c r="E46" s="33"/>
      <c r="F46" s="50"/>
      <c r="G46" s="50"/>
      <c r="H46" s="56"/>
      <c r="I46" s="54"/>
      <c r="J46" s="3"/>
      <c r="K46" s="60"/>
    </row>
    <row r="47" spans="1:12" ht="18" x14ac:dyDescent="0.2">
      <c r="A47" s="32"/>
      <c r="B47" s="33"/>
      <c r="C47" s="33"/>
      <c r="D47" s="33"/>
      <c r="E47" s="33"/>
      <c r="F47" s="50"/>
      <c r="G47" s="50"/>
      <c r="H47" s="56"/>
      <c r="I47" s="54"/>
      <c r="J47" s="3"/>
    </row>
    <row r="48" spans="1:12" ht="18" x14ac:dyDescent="0.2">
      <c r="A48" s="32"/>
      <c r="B48" s="33"/>
      <c r="C48" s="33"/>
      <c r="D48" s="33"/>
      <c r="E48" s="33"/>
      <c r="F48" s="50"/>
      <c r="G48" s="50"/>
      <c r="H48" s="56"/>
      <c r="I48" s="54"/>
      <c r="J48" s="3"/>
    </row>
    <row r="49" spans="1:16" ht="18" x14ac:dyDescent="0.2">
      <c r="A49" s="32"/>
      <c r="B49" s="33"/>
      <c r="C49" s="33"/>
      <c r="D49" s="33"/>
      <c r="E49" s="33"/>
      <c r="F49" s="50"/>
      <c r="G49" s="50"/>
      <c r="H49" s="56"/>
      <c r="I49" s="54"/>
      <c r="J49" s="3"/>
    </row>
    <row r="50" spans="1:16" ht="18" x14ac:dyDescent="0.2">
      <c r="A50" s="32"/>
      <c r="B50" s="33"/>
      <c r="C50" s="33"/>
      <c r="D50" s="33"/>
      <c r="E50" s="33"/>
      <c r="F50" s="50"/>
      <c r="G50" s="50"/>
      <c r="H50" s="56"/>
      <c r="I50" s="54"/>
      <c r="J50" s="3"/>
      <c r="P50" s="79" t="s">
        <v>57</v>
      </c>
    </row>
    <row r="51" spans="1:16" ht="18" x14ac:dyDescent="0.2">
      <c r="A51" s="32"/>
      <c r="B51" s="33"/>
      <c r="C51" s="33"/>
      <c r="D51" s="33"/>
      <c r="E51" s="33"/>
      <c r="F51" s="50"/>
      <c r="G51" s="50"/>
      <c r="H51" s="56"/>
      <c r="I51" s="54"/>
      <c r="J51" s="3"/>
    </row>
    <row r="52" spans="1:16" ht="18" x14ac:dyDescent="0.2">
      <c r="A52" s="32"/>
      <c r="B52" s="33"/>
      <c r="C52" s="33"/>
      <c r="D52" s="33"/>
      <c r="E52" s="33"/>
      <c r="F52" s="50"/>
      <c r="G52" s="50"/>
      <c r="H52" s="56"/>
      <c r="I52" s="54"/>
      <c r="J52" s="3"/>
    </row>
    <row r="53" spans="1:16" ht="12" customHeight="1" x14ac:dyDescent="0.2">
      <c r="A53" s="32"/>
      <c r="B53" s="33"/>
      <c r="C53" s="33"/>
      <c r="D53" s="33"/>
      <c r="E53" s="33"/>
      <c r="F53" s="50"/>
      <c r="G53" s="50"/>
      <c r="H53" s="56"/>
      <c r="I53" s="54"/>
    </row>
    <row r="54" spans="1:16" ht="5.25" customHeight="1" x14ac:dyDescent="0.2">
      <c r="A54" s="32"/>
      <c r="B54" s="33"/>
      <c r="C54" s="33"/>
      <c r="D54" s="33"/>
      <c r="E54" s="33"/>
      <c r="F54" s="50"/>
      <c r="G54" s="50"/>
      <c r="H54" s="56"/>
      <c r="I54" s="54"/>
      <c r="J54" s="63"/>
      <c r="K54" s="60"/>
    </row>
    <row r="55" spans="1:16" ht="20.25" customHeight="1" x14ac:dyDescent="0.2">
      <c r="A55" s="32"/>
      <c r="B55" s="33"/>
      <c r="C55" s="33"/>
      <c r="D55" s="33"/>
      <c r="E55" s="33"/>
      <c r="F55" s="33"/>
      <c r="G55" s="33"/>
      <c r="H55" s="64"/>
      <c r="I55" s="65"/>
      <c r="J55" s="63"/>
      <c r="K55" s="60"/>
    </row>
    <row r="56" spans="1:16" s="60" customFormat="1" ht="21.95" customHeight="1" x14ac:dyDescent="0.2">
      <c r="A56" s="66"/>
      <c r="B56" s="67"/>
      <c r="C56" s="68"/>
      <c r="D56" s="69"/>
      <c r="E56" s="69"/>
      <c r="F56" s="69"/>
      <c r="G56" s="67"/>
      <c r="H56" s="67"/>
      <c r="I56" s="70"/>
      <c r="J56" s="63"/>
    </row>
    <row r="57" spans="1:16" s="60" customFormat="1" ht="12.75" customHeight="1" x14ac:dyDescent="0.2">
      <c r="A57" s="30"/>
      <c r="B57" s="30"/>
      <c r="C57" s="2"/>
      <c r="D57" s="71"/>
      <c r="E57" s="71"/>
      <c r="F57" s="71"/>
      <c r="G57" s="30"/>
      <c r="H57" s="30"/>
      <c r="I57" s="30"/>
    </row>
    <row r="58" spans="1:16" ht="21" customHeight="1" x14ac:dyDescent="0.2">
      <c r="A58" s="263" t="s">
        <v>12</v>
      </c>
      <c r="B58" s="264"/>
      <c r="C58" s="264"/>
      <c r="D58" s="264"/>
      <c r="E58" s="264"/>
      <c r="F58" s="264"/>
      <c r="G58" s="264"/>
      <c r="H58" s="264"/>
      <c r="I58" s="265"/>
    </row>
    <row r="59" spans="1:16" ht="6.75" customHeight="1" x14ac:dyDescent="0.2">
      <c r="A59" s="19"/>
      <c r="B59" s="20"/>
      <c r="C59" s="20"/>
      <c r="D59" s="20"/>
      <c r="E59" s="21"/>
      <c r="F59" s="21"/>
      <c r="G59" s="22"/>
      <c r="H59" s="23"/>
      <c r="I59" s="24"/>
    </row>
    <row r="60" spans="1:16" ht="16.5" customHeight="1" x14ac:dyDescent="0.2">
      <c r="A60" s="299" t="s">
        <v>9</v>
      </c>
      <c r="B60" s="300"/>
      <c r="C60" s="7">
        <f>H16*1.54</f>
        <v>67436.62695000002</v>
      </c>
      <c r="D60" s="36"/>
      <c r="E60" s="300" t="s">
        <v>7</v>
      </c>
      <c r="F60" s="300"/>
      <c r="G60" s="300"/>
      <c r="H60" s="8">
        <f>C60/11470</f>
        <v>5.8793920619006119</v>
      </c>
      <c r="I60" s="34"/>
    </row>
    <row r="61" spans="1:16" ht="16.5" customHeight="1" x14ac:dyDescent="0.2">
      <c r="A61" s="299" t="s">
        <v>10</v>
      </c>
      <c r="B61" s="300"/>
      <c r="C61" s="7">
        <f>C60/2000</f>
        <v>33.718313475000009</v>
      </c>
      <c r="D61" s="36"/>
      <c r="E61" s="37"/>
      <c r="F61" s="37"/>
      <c r="G61" s="37"/>
      <c r="H61" s="9"/>
      <c r="I61" s="34"/>
    </row>
    <row r="62" spans="1:16" ht="17.25" customHeight="1" x14ac:dyDescent="0.2">
      <c r="A62" s="35"/>
      <c r="B62" s="36"/>
      <c r="C62" s="25"/>
      <c r="D62" s="36"/>
      <c r="E62" s="300" t="s">
        <v>8</v>
      </c>
      <c r="F62" s="300"/>
      <c r="G62" s="300"/>
      <c r="H62" s="11">
        <f>C60/8066</f>
        <v>8.3606033907760988</v>
      </c>
      <c r="I62" s="34"/>
    </row>
    <row r="63" spans="1:16" ht="15.75" customHeight="1" x14ac:dyDescent="0.2">
      <c r="A63" s="299" t="s">
        <v>11</v>
      </c>
      <c r="B63" s="300"/>
      <c r="C63" s="7">
        <f>C60/2.06</f>
        <v>32736.22667475729</v>
      </c>
      <c r="D63" s="37"/>
      <c r="E63" s="10"/>
      <c r="F63" s="10"/>
      <c r="G63" s="10"/>
      <c r="H63" s="9"/>
      <c r="I63" s="34"/>
    </row>
    <row r="64" spans="1:16" ht="18" x14ac:dyDescent="0.2">
      <c r="A64" s="299" t="s">
        <v>10</v>
      </c>
      <c r="B64" s="300"/>
      <c r="C64" s="7">
        <f>C63/2000</f>
        <v>16.368113337378645</v>
      </c>
      <c r="D64" s="37"/>
      <c r="E64" s="10"/>
      <c r="F64" s="10"/>
      <c r="G64" s="10" t="s">
        <v>49</v>
      </c>
      <c r="H64" s="11">
        <f>C60/10660</f>
        <v>6.3261376125703581</v>
      </c>
      <c r="I64" s="34"/>
    </row>
    <row r="65" spans="1:9" ht="6" customHeight="1" x14ac:dyDescent="0.2">
      <c r="A65" s="26"/>
      <c r="B65" s="27"/>
      <c r="C65" s="28"/>
      <c r="D65" s="27"/>
      <c r="E65" s="12"/>
      <c r="F65" s="12"/>
      <c r="G65" s="12"/>
      <c r="H65" s="13"/>
      <c r="I65" s="6"/>
    </row>
    <row r="66" spans="1:9" x14ac:dyDescent="0.2">
      <c r="A66" s="29" t="s">
        <v>6</v>
      </c>
      <c r="B66" s="30"/>
      <c r="C66" s="30"/>
      <c r="D66" s="30"/>
      <c r="E66" s="30"/>
      <c r="F66" s="30"/>
      <c r="G66" s="30"/>
      <c r="H66" s="30"/>
      <c r="I66" s="30"/>
    </row>
  </sheetData>
  <sheetProtection password="D833" sheet="1" objects="1" scenarios="1"/>
  <mergeCells count="68">
    <mergeCell ref="A63:B63"/>
    <mergeCell ref="A64:B64"/>
    <mergeCell ref="G30:H30"/>
    <mergeCell ref="G31:H31"/>
    <mergeCell ref="G33:H33"/>
    <mergeCell ref="G34:H34"/>
    <mergeCell ref="G35:H35"/>
    <mergeCell ref="G37:H37"/>
    <mergeCell ref="A58:I58"/>
    <mergeCell ref="A60:B60"/>
    <mergeCell ref="E62:G62"/>
    <mergeCell ref="E60:G60"/>
    <mergeCell ref="G41:H41"/>
    <mergeCell ref="A61:B61"/>
    <mergeCell ref="G32:H32"/>
    <mergeCell ref="A29:I29"/>
    <mergeCell ref="B41:F41"/>
    <mergeCell ref="B40:F40"/>
    <mergeCell ref="G40:H40"/>
    <mergeCell ref="G36:H36"/>
    <mergeCell ref="F24:G25"/>
    <mergeCell ref="A28:I28"/>
    <mergeCell ref="A25:E25"/>
    <mergeCell ref="H25:I25"/>
    <mergeCell ref="A24:E24"/>
    <mergeCell ref="H24:I24"/>
    <mergeCell ref="H9:I9"/>
    <mergeCell ref="F10:G10"/>
    <mergeCell ref="H11:I11"/>
    <mergeCell ref="H12:I12"/>
    <mergeCell ref="F20:G20"/>
    <mergeCell ref="H20:I20"/>
    <mergeCell ref="F9:G9"/>
    <mergeCell ref="H15:I15"/>
    <mergeCell ref="F19:G19"/>
    <mergeCell ref="H19:I19"/>
    <mergeCell ref="F12:G12"/>
    <mergeCell ref="H16:I16"/>
    <mergeCell ref="F11:G11"/>
    <mergeCell ref="G4:I5"/>
    <mergeCell ref="A6:I6"/>
    <mergeCell ref="A7:I7"/>
    <mergeCell ref="A19:E19"/>
    <mergeCell ref="A12:E12"/>
    <mergeCell ref="A8:I8"/>
    <mergeCell ref="A10:E10"/>
    <mergeCell ref="A9:E9"/>
    <mergeCell ref="A11:E11"/>
    <mergeCell ref="H10:I10"/>
    <mergeCell ref="A13:E13"/>
    <mergeCell ref="F13:G13"/>
    <mergeCell ref="H13:I13"/>
    <mergeCell ref="A14:E14"/>
    <mergeCell ref="F14:G14"/>
    <mergeCell ref="H14:I14"/>
    <mergeCell ref="A15:E15"/>
    <mergeCell ref="A18:E18"/>
    <mergeCell ref="F18:G18"/>
    <mergeCell ref="H18:I18"/>
    <mergeCell ref="F23:G23"/>
    <mergeCell ref="A23:E23"/>
    <mergeCell ref="H23:I23"/>
    <mergeCell ref="A21:E21"/>
    <mergeCell ref="H21:I21"/>
    <mergeCell ref="F21:G21"/>
    <mergeCell ref="A20:E20"/>
    <mergeCell ref="F22:G22"/>
    <mergeCell ref="H22:I22"/>
  </mergeCells>
  <phoneticPr fontId="2" type="noConversion"/>
  <printOptions horizontalCentered="1"/>
  <pageMargins left="0.25" right="0.25" top="0.25" bottom="0.25" header="0.25" footer="0.25"/>
  <pageSetup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 Sheet</vt:lpstr>
      <vt:lpstr>Total Cost of Ownership Summary</vt:lpstr>
      <vt:lpstr>'Total Cost of Ownership Summary'!Print_Area</vt:lpstr>
    </vt:vector>
  </TitlesOfParts>
  <Company>Cooper Industries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e3a4a</dc:creator>
  <cp:lastModifiedBy>Windows User</cp:lastModifiedBy>
  <cp:lastPrinted>2012-11-28T17:27:37Z</cp:lastPrinted>
  <dcterms:created xsi:type="dcterms:W3CDTF">2008-10-01T17:35:03Z</dcterms:created>
  <dcterms:modified xsi:type="dcterms:W3CDTF">2016-06-24T18:31:21Z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