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I:\2020 Eaton.com\Calculators\"/>
    </mc:Choice>
  </mc:AlternateContent>
  <xr:revisionPtr revIDLastSave="0" documentId="8_{768A7737-AB91-4100-9889-DFCFCDB24A6F}" xr6:coauthVersionLast="41" xr6:coauthVersionMax="41" xr10:uidLastSave="{00000000-0000-0000-0000-000000000000}"/>
  <bookViews>
    <workbookView xWindow="28680" yWindow="-120" windowWidth="29040" windowHeight="15840" tabRatio="700" xr2:uid="{00000000-000D-0000-FFFF-FFFF00000000}"/>
  </bookViews>
  <sheets>
    <sheet name="Input Sheet" sheetId="7" r:id="rId1"/>
    <sheet name="Total Cost of Ownership Summary" sheetId="6" r:id="rId2"/>
  </sheets>
  <definedNames>
    <definedName name="_xlnm.Print_Area" localSheetId="1">'Total Cost of Ownership Summary'!$A$1:$I$65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6" l="1"/>
  <c r="K25" i="7" l="1"/>
  <c r="J25" i="7"/>
  <c r="C30" i="6" l="1"/>
  <c r="D30" i="6" l="1"/>
  <c r="K17" i="7"/>
  <c r="K18" i="7" s="1"/>
  <c r="G35" i="6" l="1"/>
  <c r="G34" i="6"/>
  <c r="N51" i="7"/>
  <c r="O51" i="7" s="1"/>
  <c r="N50" i="7"/>
  <c r="O50" i="7" s="1"/>
  <c r="N49" i="7"/>
  <c r="O49" i="7" s="1"/>
  <c r="N48" i="7"/>
  <c r="O48" i="7" s="1"/>
  <c r="N47" i="7"/>
  <c r="O47" i="7" s="1"/>
  <c r="N46" i="7"/>
  <c r="O46" i="7" s="1"/>
  <c r="K40" i="7" l="1"/>
  <c r="K39" i="7"/>
  <c r="K38" i="7"/>
  <c r="K36" i="7"/>
  <c r="K37" i="7"/>
  <c r="J22" i="7"/>
  <c r="J21" i="7"/>
  <c r="L25" i="7" l="1"/>
  <c r="J23" i="7"/>
  <c r="I23" i="7" s="1"/>
  <c r="H10" i="6" l="1"/>
  <c r="L7" i="7"/>
  <c r="K7" i="7"/>
  <c r="F10" i="6" s="1"/>
  <c r="H19" i="6"/>
  <c r="J7" i="7"/>
  <c r="N7" i="7" s="1"/>
  <c r="N25" i="7" l="1"/>
  <c r="F9" i="6" l="1"/>
  <c r="F18" i="6" s="1"/>
  <c r="A6" i="6"/>
  <c r="F19" i="6" l="1"/>
  <c r="G33" i="6"/>
  <c r="C33" i="6"/>
  <c r="C29" i="6"/>
  <c r="F22" i="6" l="1"/>
  <c r="F20" i="6"/>
  <c r="F11" i="6"/>
  <c r="H13" i="6"/>
  <c r="H14" i="6" s="1"/>
  <c r="C35" i="6" s="1"/>
  <c r="D32" i="6"/>
  <c r="D33" i="6" s="1"/>
  <c r="F21" i="6"/>
  <c r="F12" i="6" l="1"/>
  <c r="H23" i="6"/>
  <c r="H24" i="6" s="1"/>
  <c r="C36" i="6" s="1"/>
  <c r="G31" i="6" s="1"/>
  <c r="C34" i="6" l="1"/>
  <c r="H11" i="6"/>
  <c r="C37" i="6" l="1"/>
  <c r="H12" i="6"/>
  <c r="H16" i="6" s="1"/>
  <c r="H15" i="6"/>
  <c r="C59" i="6" l="1"/>
  <c r="C60" i="6" s="1"/>
  <c r="D34" i="6"/>
  <c r="G32" i="6" l="1"/>
  <c r="G36" i="6" s="1"/>
  <c r="G30" i="6"/>
  <c r="D37" i="6"/>
  <c r="H61" i="6"/>
  <c r="C62" i="6"/>
  <c r="C63" i="6" s="1"/>
  <c r="H59" i="6"/>
  <c r="H63" i="6"/>
  <c r="G39" i="6"/>
  <c r="G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I20" authorId="0" shapeId="0" xr:uid="{00000000-0006-0000-0000-000001000000}">
      <text>
        <r>
          <rPr>
            <sz val="9"/>
            <color indexed="81"/>
            <rFont val="Tahoma"/>
            <family val="2"/>
          </rPr>
          <t xml:space="preserve">Typical Value for most lighting systems
</t>
        </r>
      </text>
    </comment>
    <comment ref="I23" authorId="0" shapeId="0" xr:uid="{00000000-0006-0000-0000-000002000000}">
      <text>
        <r>
          <rPr>
            <sz val="9"/>
            <color indexed="81"/>
            <rFont val="Tahoma"/>
            <family val="2"/>
          </rPr>
          <t>This is based off Theoretical max efficiency * 10%. Typical COP values range from 2-4 depending upon type of system and heating/cooling load. COP is defined as the cooling or heating load handled by unit for every unit of power consumed (Efficiency of HVAC system)</t>
        </r>
      </text>
    </comment>
    <comment ref="J23" authorId="0" shapeId="0" xr:uid="{00000000-0006-0000-0000-000003000000}">
      <text>
        <r>
          <rPr>
            <b/>
            <sz val="9"/>
            <color indexed="81"/>
            <rFont val="Tahoma"/>
            <family val="2"/>
          </rPr>
          <t>Anshuman Bhargava:</t>
        </r>
        <r>
          <rPr>
            <sz val="9"/>
            <color indexed="81"/>
            <rFont val="Tahoma"/>
            <family val="2"/>
          </rPr>
          <t xml:space="preserve">
This is based off Theoretical max efficiency * 10%. Typical COP values range from 2-4 depending upon type of system and heating/cooling load. COP is defined as the cooling or heating load handled by unit for every unit of power consumed (Efficiency of HVAC system)</t>
        </r>
      </text>
    </comment>
    <comment ref="I24" authorId="0" shapeId="0" xr:uid="{00000000-0006-0000-0000-000004000000}">
      <text>
        <r>
          <rPr>
            <b/>
            <sz val="9"/>
            <color indexed="81"/>
            <rFont val="Tahoma"/>
            <family val="2"/>
          </rPr>
          <t>Cannot exceed 131F or 55C operating ambient temperature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EBS Desktop Services</author>
  </authors>
  <commentList>
    <comment ref="F19" authorId="0" shapeId="0" xr:uid="{00000000-0006-0000-0100-000001000000}">
      <text>
        <r>
          <rPr>
            <sz val="9"/>
            <color indexed="81"/>
            <rFont val="Tahoma"/>
            <family val="2"/>
          </rPr>
          <t xml:space="preserve">50% of HID fixtures fail after reaching its economic rated life
</t>
        </r>
      </text>
    </comment>
  </commentList>
</comments>
</file>

<file path=xl/sharedStrings.xml><?xml version="1.0" encoding="utf-8"?>
<sst xmlns="http://schemas.openxmlformats.org/spreadsheetml/2006/main" count="183" uniqueCount="167">
  <si>
    <t>LED SYSTEM</t>
  </si>
  <si>
    <t>Annual energy consumption (kWhr)</t>
  </si>
  <si>
    <t>Annual energy cost ($)</t>
  </si>
  <si>
    <t>Annual Energy Savings ($)</t>
  </si>
  <si>
    <t>Energy Savings</t>
  </si>
  <si>
    <t>Maintenance Savings</t>
  </si>
  <si>
    <t>*Based on Environmental Protection Agency (EPA) emissions factor assumptions.</t>
  </si>
  <si>
    <t>Fewer Cars on the Road:</t>
  </si>
  <si>
    <t>Acres of Trees Planted:</t>
  </si>
  <si>
    <t>CO2 Emissions (lbs):</t>
  </si>
  <si>
    <t>(tons):</t>
  </si>
  <si>
    <t>Coal Emissions (lbs):</t>
  </si>
  <si>
    <t>Equivilant Environmental Impact*</t>
  </si>
  <si>
    <t>Input Watts</t>
  </si>
  <si>
    <t>LED Luminaire Cost</t>
  </si>
  <si>
    <t>A</t>
  </si>
  <si>
    <t>B</t>
  </si>
  <si>
    <t>C</t>
  </si>
  <si>
    <t>Lamp Source</t>
  </si>
  <si>
    <t>CHART A</t>
  </si>
  <si>
    <t>Enter the labor rate ($ per Hour)</t>
  </si>
  <si>
    <t>What is the energy cost on site ? ( $ / kWhr )</t>
  </si>
  <si>
    <t>Ave Lamp Life</t>
  </si>
  <si>
    <t>Input Data</t>
  </si>
  <si>
    <t>Operating Hours Per Year</t>
  </si>
  <si>
    <t>Annual Cost of Replacement Lamps ($)</t>
  </si>
  <si>
    <t>Enter lighting hours of operation per day (12, 24 etc)</t>
  </si>
  <si>
    <t>Many Harsh and Hazardous locations require 2 person teams</t>
  </si>
  <si>
    <t>Use the fully loaded labor rate</t>
  </si>
  <si>
    <t>Energy Savings over  Life of the LED System ($)</t>
  </si>
  <si>
    <t>Cost of replacement lamps in ($)</t>
  </si>
  <si>
    <t>Cost of disposal per lamp ($)</t>
  </si>
  <si>
    <t>Energy Cost over life of LED System</t>
  </si>
  <si>
    <t>Customer or Project Name</t>
  </si>
  <si>
    <t>Notes:</t>
  </si>
  <si>
    <t>Years of Maintenance Free Operation</t>
  </si>
  <si>
    <t>Total Cost of Ownership</t>
  </si>
  <si>
    <t>Time per fixture for lamp maintenance (Hours)</t>
  </si>
  <si>
    <t>How many people are required for lamp maintenance ?</t>
  </si>
  <si>
    <t>Be sure replacement time includes time for approvals, down time, paperwork, lock out tag out, man lift, etc.</t>
  </si>
  <si>
    <t>Design Parameter</t>
  </si>
  <si>
    <t>Toll Free:  (866) 764-5454
Fax:  (315) 477-5179
crouse.customerctr@cooperindustries.com</t>
  </si>
  <si>
    <t>Total Cost of Ownership Comparison</t>
  </si>
  <si>
    <t>LED</t>
  </si>
  <si>
    <t>Total $ Savings!</t>
  </si>
  <si>
    <t>Initial Investment:</t>
  </si>
  <si>
    <t>Energy Savings:</t>
  </si>
  <si>
    <t>Total Savings:</t>
  </si>
  <si>
    <t>Total $ Return:</t>
  </si>
  <si>
    <t># Housholds Annual Electricity Usage:</t>
  </si>
  <si>
    <t xml:space="preserve">Estimated Tax Rebate: </t>
  </si>
  <si>
    <t xml:space="preserve">Initial Investment </t>
  </si>
  <si>
    <t>Tax Rebate</t>
  </si>
  <si>
    <t>Net Investment</t>
  </si>
  <si>
    <t xml:space="preserve">Enter a cost of the existing luminaire ($ each) </t>
  </si>
  <si>
    <t>Labor &amp; Material Savings:</t>
  </si>
  <si>
    <t>Energy &amp; Maintenance Savings</t>
  </si>
  <si>
    <t>`</t>
  </si>
  <si>
    <t>Payback Period on the Entire LED Installation (Years)</t>
  </si>
  <si>
    <t>Chart B</t>
  </si>
  <si>
    <t>D</t>
  </si>
  <si>
    <t>E</t>
  </si>
  <si>
    <t>100W HPS</t>
  </si>
  <si>
    <t>150W HPS</t>
  </si>
  <si>
    <t>100W MV</t>
  </si>
  <si>
    <t>175WMV</t>
  </si>
  <si>
    <t>F</t>
  </si>
  <si>
    <t>250W MV</t>
  </si>
  <si>
    <t>G</t>
  </si>
  <si>
    <t>70W MH</t>
  </si>
  <si>
    <t>H</t>
  </si>
  <si>
    <t>100W MH</t>
  </si>
  <si>
    <t>J</t>
  </si>
  <si>
    <t>150W MH</t>
  </si>
  <si>
    <t>K</t>
  </si>
  <si>
    <t>175W MH</t>
  </si>
  <si>
    <t>L</t>
  </si>
  <si>
    <t>M</t>
  </si>
  <si>
    <t>250W MH</t>
  </si>
  <si>
    <t>320W MH</t>
  </si>
  <si>
    <t>200W HPS</t>
  </si>
  <si>
    <t>250W HPS</t>
  </si>
  <si>
    <t>N</t>
  </si>
  <si>
    <t>Traditional Lamp Source (Click Cell to Select Lamp Source)</t>
  </si>
  <si>
    <t>LED Light Source (Click Cell to Select LED Source)</t>
  </si>
  <si>
    <t>Customer Name</t>
  </si>
  <si>
    <t>O</t>
  </si>
  <si>
    <t>400W MH</t>
  </si>
  <si>
    <t>I</t>
  </si>
  <si>
    <t>6 Lamp 54W T5</t>
  </si>
  <si>
    <t>Payback Period on the Incremental LED Cost (Years)</t>
  </si>
  <si>
    <t>Total Maintenance Costs</t>
  </si>
  <si>
    <t>Annual Labor Costs ($)</t>
  </si>
  <si>
    <t>Annual Fixed Maintenance Costs</t>
  </si>
  <si>
    <t>Annual Maintenance Savings ($)</t>
  </si>
  <si>
    <t>Maintenance Savings over Life of the LED System ($)</t>
  </si>
  <si>
    <t>Q</t>
  </si>
  <si>
    <t>R</t>
  </si>
  <si>
    <t>T</t>
  </si>
  <si>
    <t>S</t>
  </si>
  <si>
    <t>U</t>
  </si>
  <si>
    <t>V</t>
  </si>
  <si>
    <t>70W  PSMH</t>
  </si>
  <si>
    <t>100W PSMH</t>
  </si>
  <si>
    <t>150W PSMH</t>
  </si>
  <si>
    <t>175W PSMH</t>
  </si>
  <si>
    <t>250W PSMH</t>
  </si>
  <si>
    <t>320W PSMH</t>
  </si>
  <si>
    <t>400W PSMH</t>
  </si>
  <si>
    <t>Fraction of year of the cooling season (in weeks)</t>
  </si>
  <si>
    <t>Lighting load met by mechanical cooling (How much of lighting system's heat must be removed by cooling)</t>
  </si>
  <si>
    <t xml:space="preserve">    Ambient Temperature (deg F)</t>
  </si>
  <si>
    <t>Coefficient of Performance of cooling system (COP)</t>
  </si>
  <si>
    <t>Y</t>
  </si>
  <si>
    <t>Is LED lighting being used in an air conditioned area requiring cooling (If Y, then input ROWS 13-17)</t>
  </si>
  <si>
    <t>YES</t>
  </si>
  <si>
    <t>NO</t>
  </si>
  <si>
    <t xml:space="preserve">    Temperature to be maintained within the air conditioned building (deg F)</t>
  </si>
  <si>
    <t>Estimated  Utility rebate for the project ($)</t>
  </si>
  <si>
    <t>Manufacturing or process downtime opportunity cost due to loss of lighting ($)</t>
  </si>
  <si>
    <t xml:space="preserve">Other Fixed Cost Assosciated with Lamp Maintenance (Lift Rental, Scaffolding etc) </t>
  </si>
  <si>
    <t>Estimated EPACT (Section 179D) tax savings for the project ($)</t>
  </si>
  <si>
    <t>Champ VMV LED Fixture Lifetime Analysis</t>
  </si>
  <si>
    <t xml:space="preserve">Ambient Temp </t>
  </si>
  <si>
    <t>LED Case Temp</t>
  </si>
  <si>
    <t>*L70 LED Life (Hrs)</t>
  </si>
  <si>
    <t>**L10 Driver Life (Hrs)</t>
  </si>
  <si>
    <t xml:space="preserve">Driver Life (90% of L10) (Hrs) </t>
  </si>
  <si>
    <t>Fixture Life (Hrs)</t>
  </si>
  <si>
    <t>25C</t>
  </si>
  <si>
    <t>62C</t>
  </si>
  <si>
    <t>30C</t>
  </si>
  <si>
    <t>67C</t>
  </si>
  <si>
    <t>35C</t>
  </si>
  <si>
    <t>72C</t>
  </si>
  <si>
    <t>40C</t>
  </si>
  <si>
    <t>77C</t>
  </si>
  <si>
    <t>45C</t>
  </si>
  <si>
    <t>82C</t>
  </si>
  <si>
    <t>55C</t>
  </si>
  <si>
    <t>92C</t>
  </si>
  <si>
    <t>Air Cooling energy savings due to switching over to LED lighting (Kwhr/yr)</t>
  </si>
  <si>
    <t>Air Cooling energy savings due to switching over to LED lighting ($/yr)</t>
  </si>
  <si>
    <t>Total Lighting Energy Costs</t>
  </si>
  <si>
    <t>Incremental Air Cooling Energy Costs</t>
  </si>
  <si>
    <t>Estimated Utility Rebate:</t>
  </si>
  <si>
    <t xml:space="preserve">Enter the input data for your project into the yellow cells below.  When finished, click on the "Total Cost of Ownership Summary" tab to view the cost savings and ROI realized </t>
  </si>
  <si>
    <t>Occupancy Sensor Used</t>
  </si>
  <si>
    <t>% of time lights are turned off in 24 hrs</t>
  </si>
  <si>
    <t xml:space="preserve">Occupancy sensor cost </t>
  </si>
  <si>
    <t>Operating Hrs Per Year With Occ sensor</t>
  </si>
  <si>
    <t>W</t>
  </si>
  <si>
    <t>X</t>
  </si>
  <si>
    <t>Z</t>
  </si>
  <si>
    <t>55W Induction</t>
  </si>
  <si>
    <t>85W Induction</t>
  </si>
  <si>
    <t>165W Induction</t>
  </si>
  <si>
    <t>Utility Rebate</t>
  </si>
  <si>
    <t>Input quantity of LED fixtures used for the project ?</t>
  </si>
  <si>
    <t>Input quantity of HID/HPS fixtures being replaced or retrofitted ?</t>
  </si>
  <si>
    <t>Maximum average temperature to which LED fixture will be exposed throughout the year (deg F)</t>
  </si>
  <si>
    <t>PVM 3L - 41W</t>
  </si>
  <si>
    <t>PVM 5L - 67W</t>
  </si>
  <si>
    <t>PVM 7L - 94W</t>
  </si>
  <si>
    <t>PVM 9L - 114W</t>
  </si>
  <si>
    <t>PVM 11L-118W</t>
  </si>
  <si>
    <t>Champ® PVM LED - ROI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</si>
</sst>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_);\(#,##0.0\)"/>
    <numFmt numFmtId="167" formatCode="&quot;$&quot;#,##0.0_);\(&quot;$&quot;#,##0.0\)"/>
    <numFmt numFmtId="168" formatCode="0.0"/>
  </numFmts>
  <fonts count="35"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b/>
      <sz val="14"/>
      <color indexed="9"/>
      <name val="Arial"/>
      <family val="2"/>
    </font>
    <font>
      <sz val="12"/>
      <name val="Arial"/>
      <family val="2"/>
    </font>
    <font>
      <sz val="10"/>
      <name val="Arial"/>
      <family val="2"/>
    </font>
    <font>
      <b/>
      <sz val="14"/>
      <color indexed="17"/>
      <name val="Arial"/>
      <family val="2"/>
    </font>
    <font>
      <b/>
      <sz val="14"/>
      <color indexed="10"/>
      <name val="Arial"/>
      <family val="2"/>
    </font>
    <font>
      <b/>
      <sz val="18"/>
      <color indexed="9"/>
      <name val="Arial"/>
      <family val="2"/>
    </font>
    <font>
      <sz val="14"/>
      <color indexed="9"/>
      <name val="Arial"/>
      <family val="2"/>
    </font>
    <font>
      <b/>
      <i/>
      <sz val="14"/>
      <color indexed="9"/>
      <name val="Arial"/>
      <family val="2"/>
    </font>
    <font>
      <i/>
      <sz val="14"/>
      <color indexed="9"/>
      <name val="Arial"/>
      <family val="2"/>
    </font>
    <font>
      <sz val="13"/>
      <name val="Arial"/>
      <family val="2"/>
    </font>
    <font>
      <b/>
      <sz val="13"/>
      <name val="Arial"/>
      <family val="2"/>
    </font>
    <font>
      <b/>
      <sz val="14"/>
      <color theme="1"/>
      <name val="Arial"/>
      <family val="2"/>
    </font>
    <font>
      <b/>
      <sz val="11"/>
      <color theme="1"/>
      <name val="Arial"/>
      <family val="2"/>
    </font>
    <font>
      <b/>
      <sz val="12"/>
      <color theme="1"/>
      <name val="Arial"/>
      <family val="2"/>
    </font>
    <font>
      <b/>
      <sz val="24"/>
      <color theme="1"/>
      <name val="Arial"/>
      <family val="2"/>
    </font>
    <font>
      <b/>
      <sz val="8"/>
      <name val="Arial"/>
      <family val="2"/>
    </font>
    <font>
      <b/>
      <sz val="8"/>
      <color indexed="9"/>
      <name val="Arial"/>
      <family val="2"/>
    </font>
    <font>
      <b/>
      <u/>
      <sz val="8"/>
      <name val="Arial"/>
      <family val="2"/>
    </font>
    <font>
      <b/>
      <sz val="8"/>
      <color indexed="62"/>
      <name val="Arial"/>
      <family val="2"/>
    </font>
    <font>
      <sz val="8"/>
      <color indexed="62"/>
      <name val="Arial"/>
      <family val="2"/>
    </font>
    <font>
      <b/>
      <sz val="8"/>
      <color theme="3" tint="-0.249977111117893"/>
      <name val="Arial"/>
      <family val="2"/>
    </font>
    <font>
      <sz val="8"/>
      <color indexed="18"/>
      <name val="Arial"/>
      <family val="2"/>
    </font>
    <font>
      <b/>
      <sz val="8"/>
      <color indexed="18"/>
      <name val="Arial"/>
      <family val="2"/>
    </font>
    <font>
      <sz val="9"/>
      <color indexed="81"/>
      <name val="Tahoma"/>
      <family val="2"/>
    </font>
    <font>
      <b/>
      <sz val="11"/>
      <color theme="1"/>
      <name val="Calibri"/>
      <family val="2"/>
      <scheme val="minor"/>
    </font>
    <font>
      <b/>
      <sz val="8"/>
      <color rgb="FFFF0000"/>
      <name val="Arial"/>
      <family val="2"/>
    </font>
    <font>
      <b/>
      <sz val="9"/>
      <color indexed="81"/>
      <name val="Tahoma"/>
      <family val="2"/>
    </font>
    <font>
      <i/>
      <sz val="8"/>
      <name val="Arial"/>
      <family val="2"/>
    </font>
    <font>
      <b/>
      <i/>
      <sz val="8"/>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9FD789"/>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FF99"/>
        <bgColor indexed="64"/>
      </patternFill>
    </fill>
    <fill>
      <patternFill patternType="solid">
        <fgColor rgb="FFFFFFFF"/>
        <bgColor indexed="64"/>
      </patternFill>
    </fill>
  </fills>
  <borders count="39">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op>
      <bottom/>
      <diagonal/>
    </border>
    <border>
      <left/>
      <right/>
      <top style="thin">
        <color theme="0"/>
      </top>
      <bottom style="thin">
        <color theme="0"/>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theme="0"/>
      </top>
      <bottom style="thin">
        <color theme="0"/>
      </bottom>
      <diagonal/>
    </border>
    <border>
      <left style="medium">
        <color indexed="64"/>
      </left>
      <right/>
      <top style="thin">
        <color theme="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4">
    <xf numFmtId="0" fontId="0" fillId="0" borderId="0" xfId="0"/>
    <xf numFmtId="0" fontId="0" fillId="0" borderId="0" xfId="0" applyAlignment="1">
      <alignment vertical="center"/>
    </xf>
    <xf numFmtId="0" fontId="0" fillId="2" borderId="0" xfId="0" applyFill="1" applyBorder="1" applyAlignment="1">
      <alignment horizontal="center" vertical="center"/>
    </xf>
    <xf numFmtId="0" fontId="0" fillId="0" borderId="0" xfId="0" applyAlignment="1">
      <alignment horizontal="center" vertical="center"/>
    </xf>
    <xf numFmtId="0" fontId="5" fillId="2" borderId="4" xfId="0" applyFont="1" applyFill="1" applyBorder="1" applyAlignment="1">
      <alignment vertical="center"/>
    </xf>
    <xf numFmtId="0" fontId="5" fillId="2" borderId="8" xfId="0" applyFont="1" applyFill="1" applyBorder="1" applyAlignment="1">
      <alignment vertical="center"/>
    </xf>
    <xf numFmtId="0" fontId="5" fillId="2" borderId="10" xfId="0" applyFont="1" applyFill="1" applyBorder="1" applyAlignment="1">
      <alignment vertical="center"/>
    </xf>
    <xf numFmtId="3" fontId="9" fillId="2" borderId="2" xfId="1" applyNumberFormat="1" applyFont="1" applyFill="1" applyBorder="1" applyAlignment="1">
      <alignment horizontal="center" vertical="center"/>
    </xf>
    <xf numFmtId="3" fontId="9" fillId="2" borderId="2"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0" fontId="4" fillId="2" borderId="0" xfId="0" applyFont="1" applyFill="1" applyBorder="1" applyAlignment="1">
      <alignment horizontal="right" vertical="center"/>
    </xf>
    <xf numFmtId="3" fontId="9" fillId="2" borderId="2" xfId="1" applyNumberFormat="1" applyFont="1" applyFill="1" applyBorder="1" applyAlignment="1">
      <alignment horizontal="center" vertical="center" wrapText="1"/>
    </xf>
    <xf numFmtId="0" fontId="4" fillId="2" borderId="8" xfId="0" applyFont="1" applyFill="1" applyBorder="1" applyAlignment="1">
      <alignment horizontal="right" vertical="center"/>
    </xf>
    <xf numFmtId="3" fontId="9" fillId="2" borderId="8" xfId="1"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xf>
    <xf numFmtId="0" fontId="15" fillId="6" borderId="0" xfId="0" applyFont="1" applyFill="1" applyBorder="1" applyAlignment="1">
      <alignment horizontal="right" vertical="center"/>
    </xf>
    <xf numFmtId="0" fontId="16" fillId="6" borderId="0" xfId="0" applyFont="1" applyFill="1" applyBorder="1" applyAlignment="1">
      <alignment horizontal="right" vertical="center"/>
    </xf>
    <xf numFmtId="165" fontId="5" fillId="2" borderId="2" xfId="0" applyNumberFormat="1" applyFont="1" applyFill="1" applyBorder="1" applyAlignment="1">
      <alignment horizontal="center" vertical="center"/>
    </xf>
    <xf numFmtId="0" fontId="6" fillId="2" borderId="11" xfId="0" applyFont="1" applyFill="1" applyBorder="1" applyAlignment="1">
      <alignment horizontal="left" vertical="center"/>
    </xf>
    <xf numFmtId="0" fontId="12" fillId="2" borderId="6" xfId="0" applyFont="1" applyFill="1" applyBorder="1" applyAlignment="1">
      <alignment vertical="center"/>
    </xf>
    <xf numFmtId="0" fontId="13" fillId="2" borderId="6" xfId="0" applyFont="1" applyFill="1" applyBorder="1" applyAlignment="1">
      <alignment horizontal="center" vertical="center"/>
    </xf>
    <xf numFmtId="0" fontId="14" fillId="2" borderId="6" xfId="0" applyFont="1" applyFill="1" applyBorder="1" applyAlignment="1">
      <alignment horizontal="center" vertical="center"/>
    </xf>
    <xf numFmtId="0" fontId="13" fillId="2" borderId="6" xfId="0" applyFont="1" applyFill="1" applyBorder="1" applyAlignment="1">
      <alignment horizontal="right" vertical="center"/>
    </xf>
    <xf numFmtId="0" fontId="5" fillId="2" borderId="7" xfId="0" applyFont="1" applyFill="1" applyBorder="1" applyAlignment="1">
      <alignment vertical="center"/>
    </xf>
    <xf numFmtId="3" fontId="5" fillId="2" borderId="0" xfId="0" applyNumberFormat="1" applyFont="1" applyFill="1" applyBorder="1" applyAlignment="1">
      <alignment horizontal="center" vertical="center"/>
    </xf>
    <xf numFmtId="0" fontId="4" fillId="2" borderId="4" xfId="0" applyFont="1" applyFill="1" applyBorder="1" applyAlignment="1">
      <alignment horizontal="right" vertical="center" wrapText="1"/>
    </xf>
    <xf numFmtId="0" fontId="4" fillId="2" borderId="8" xfId="0" applyFont="1" applyFill="1" applyBorder="1" applyAlignment="1">
      <alignment horizontal="right" vertical="center" wrapText="1"/>
    </xf>
    <xf numFmtId="3" fontId="9" fillId="2" borderId="8" xfId="1" applyNumberFormat="1" applyFont="1" applyFill="1" applyBorder="1" applyAlignment="1">
      <alignment horizontal="left" vertical="center"/>
    </xf>
    <xf numFmtId="0" fontId="8" fillId="2" borderId="0" xfId="0" applyFont="1" applyFill="1" applyBorder="1" applyAlignment="1">
      <alignment vertical="center"/>
    </xf>
    <xf numFmtId="0" fontId="0" fillId="2" borderId="0" xfId="0" applyFill="1" applyBorder="1" applyAlignment="1">
      <alignment vertical="center"/>
    </xf>
    <xf numFmtId="5" fontId="5" fillId="2" borderId="13" xfId="0" applyNumberFormat="1" applyFont="1" applyFill="1" applyBorder="1" applyAlignment="1">
      <alignment horizontal="center"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wrapText="1"/>
    </xf>
    <xf numFmtId="0" fontId="5" fillId="2" borderId="0" xfId="0" applyFont="1" applyFill="1" applyBorder="1" applyAlignment="1">
      <alignment horizontal="center" vertical="center"/>
    </xf>
    <xf numFmtId="165" fontId="5" fillId="2" borderId="0" xfId="0" applyNumberFormat="1" applyFont="1" applyFill="1" applyBorder="1" applyAlignment="1">
      <alignment horizontal="center" vertical="center"/>
    </xf>
    <xf numFmtId="6" fontId="4" fillId="6" borderId="0" xfId="0" applyNumberFormat="1" applyFont="1" applyFill="1" applyBorder="1" applyAlignment="1">
      <alignment horizontal="center" vertical="center"/>
    </xf>
    <xf numFmtId="0" fontId="5" fillId="6" borderId="4" xfId="0" applyFont="1" applyFill="1" applyBorder="1" applyAlignment="1">
      <alignment vertical="center"/>
    </xf>
    <xf numFmtId="0" fontId="5" fillId="6" borderId="8" xfId="0" applyFont="1" applyFill="1" applyBorder="1" applyAlignment="1">
      <alignment vertical="center"/>
    </xf>
    <xf numFmtId="0" fontId="0" fillId="0" borderId="1" xfId="0" applyBorder="1" applyAlignment="1">
      <alignment vertical="center"/>
    </xf>
    <xf numFmtId="37" fontId="0" fillId="0" borderId="0" xfId="0" applyNumberFormat="1" applyAlignment="1">
      <alignment vertical="center"/>
    </xf>
    <xf numFmtId="164" fontId="0" fillId="0" borderId="0" xfId="0" applyNumberFormat="1" applyAlignment="1">
      <alignment vertical="center"/>
    </xf>
    <xf numFmtId="0" fontId="3" fillId="2" borderId="0" xfId="0" applyFont="1" applyFill="1" applyBorder="1" applyAlignment="1">
      <alignment vertical="center"/>
    </xf>
    <xf numFmtId="39" fontId="4" fillId="2" borderId="0" xfId="2" applyNumberFormat="1" applyFont="1" applyFill="1" applyBorder="1" applyAlignment="1">
      <alignment horizontal="center" vertical="center"/>
    </xf>
    <xf numFmtId="0" fontId="5" fillId="2" borderId="3" xfId="0" applyFont="1" applyFill="1" applyBorder="1" applyAlignment="1">
      <alignment horizontal="right" vertical="center"/>
    </xf>
    <xf numFmtId="0" fontId="18" fillId="8" borderId="2" xfId="0" applyFont="1" applyFill="1" applyBorder="1" applyAlignment="1">
      <alignment horizontal="center" vertical="center"/>
    </xf>
    <xf numFmtId="0" fontId="5" fillId="6" borderId="0" xfId="0" applyFont="1" applyFill="1" applyBorder="1" applyAlignment="1">
      <alignment horizontal="center" vertical="center"/>
    </xf>
    <xf numFmtId="0" fontId="0" fillId="2" borderId="9" xfId="0" applyFill="1" applyBorder="1" applyAlignment="1">
      <alignment vertical="center"/>
    </xf>
    <xf numFmtId="0" fontId="15" fillId="2" borderId="0" xfId="0" applyFont="1" applyFill="1" applyBorder="1" applyAlignment="1">
      <alignment horizontal="right" vertical="center"/>
    </xf>
    <xf numFmtId="8" fontId="0" fillId="0" borderId="0" xfId="0" applyNumberFormat="1" applyAlignment="1">
      <alignment vertical="center"/>
    </xf>
    <xf numFmtId="165" fontId="5" fillId="2" borderId="9" xfId="0" applyNumberFormat="1" applyFont="1" applyFill="1" applyBorder="1" applyAlignment="1">
      <alignment horizontal="center" vertical="center"/>
    </xf>
    <xf numFmtId="6" fontId="0" fillId="0" borderId="0" xfId="0" applyNumberFormat="1" applyAlignment="1">
      <alignment vertical="center"/>
    </xf>
    <xf numFmtId="165" fontId="5" fillId="6" borderId="0" xfId="0" applyNumberFormat="1" applyFont="1" applyFill="1" applyBorder="1" applyAlignment="1">
      <alignment horizontal="center" vertical="center"/>
    </xf>
    <xf numFmtId="6" fontId="4" fillId="0" borderId="0" xfId="0" applyNumberFormat="1" applyFont="1" applyFill="1" applyBorder="1" applyAlignment="1">
      <alignment horizontal="center" vertical="center"/>
    </xf>
    <xf numFmtId="6" fontId="0" fillId="6" borderId="0" xfId="0" applyNumberFormat="1" applyFill="1" applyBorder="1" applyAlignment="1">
      <alignment vertical="center"/>
    </xf>
    <xf numFmtId="0" fontId="5" fillId="6" borderId="0" xfId="0" applyFont="1" applyFill="1" applyBorder="1" applyAlignment="1">
      <alignment vertical="center"/>
    </xf>
    <xf numFmtId="0" fontId="0" fillId="0" borderId="0" xfId="0" applyBorder="1" applyAlignment="1">
      <alignment vertical="center"/>
    </xf>
    <xf numFmtId="166" fontId="0" fillId="0" borderId="0" xfId="0" applyNumberFormat="1" applyBorder="1" applyAlignment="1">
      <alignment vertical="center"/>
    </xf>
    <xf numFmtId="167" fontId="0" fillId="0" borderId="0" xfId="0" applyNumberFormat="1" applyAlignment="1">
      <alignment vertical="center"/>
    </xf>
    <xf numFmtId="0" fontId="0" fillId="0" borderId="0" xfId="0" applyBorder="1" applyAlignment="1">
      <alignment horizontal="center" vertical="center"/>
    </xf>
    <xf numFmtId="165" fontId="5" fillId="2" borderId="0" xfId="0" applyNumberFormat="1" applyFont="1" applyFill="1" applyBorder="1" applyAlignment="1">
      <alignment vertical="center"/>
    </xf>
    <xf numFmtId="165" fontId="5" fillId="2" borderId="9" xfId="0" applyNumberFormat="1" applyFont="1"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center" vertical="center"/>
    </xf>
    <xf numFmtId="165" fontId="0" fillId="2" borderId="8" xfId="0" applyNumberFormat="1" applyFill="1" applyBorder="1" applyAlignment="1">
      <alignment horizontal="center" vertical="center"/>
    </xf>
    <xf numFmtId="0" fontId="0" fillId="2" borderId="10" xfId="0" applyFill="1" applyBorder="1" applyAlignment="1">
      <alignment vertical="center"/>
    </xf>
    <xf numFmtId="165" fontId="0" fillId="2" borderId="0" xfId="0" applyNumberFormat="1" applyFill="1" applyBorder="1" applyAlignment="1">
      <alignment horizontal="center"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5" fillId="6" borderId="0" xfId="0" applyFont="1" applyFill="1" applyBorder="1" applyAlignment="1">
      <alignment horizontal="right" vertical="center"/>
    </xf>
    <xf numFmtId="0" fontId="7" fillId="6" borderId="0" xfId="0" applyFont="1" applyFill="1" applyBorder="1" applyAlignment="1">
      <alignment horizontal="right" vertical="center"/>
    </xf>
    <xf numFmtId="0" fontId="4" fillId="6" borderId="3" xfId="0" applyFont="1" applyFill="1" applyBorder="1" applyAlignment="1">
      <alignment vertical="center"/>
    </xf>
    <xf numFmtId="39" fontId="10" fillId="6" borderId="9" xfId="2" applyNumberFormat="1" applyFont="1" applyFill="1" applyBorder="1" applyAlignment="1">
      <alignment horizontal="center" vertical="center"/>
    </xf>
    <xf numFmtId="0" fontId="4" fillId="6" borderId="0" xfId="0" applyFont="1" applyFill="1" applyBorder="1" applyAlignment="1">
      <alignment horizontal="right" vertical="center"/>
    </xf>
    <xf numFmtId="0" fontId="1" fillId="0" borderId="0" xfId="0" applyFont="1" applyAlignment="1">
      <alignment vertical="center"/>
    </xf>
    <xf numFmtId="0" fontId="19" fillId="8" borderId="2" xfId="0" applyFont="1" applyFill="1" applyBorder="1" applyAlignment="1">
      <alignment horizontal="center"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2" fillId="6" borderId="0" xfId="0" applyFont="1" applyFill="1"/>
    <xf numFmtId="0" fontId="2" fillId="6" borderId="0" xfId="0" applyFont="1" applyFill="1" applyAlignment="1">
      <alignment wrapText="1"/>
    </xf>
    <xf numFmtId="0" fontId="2" fillId="6" borderId="0" xfId="0" applyFont="1" applyFill="1" applyAlignment="1">
      <alignment horizontal="center"/>
    </xf>
    <xf numFmtId="0" fontId="2" fillId="0" borderId="0" xfId="0" applyFont="1" applyAlignment="1">
      <alignment horizontal="center"/>
    </xf>
    <xf numFmtId="0" fontId="2" fillId="0" borderId="0" xfId="0" applyFont="1"/>
    <xf numFmtId="0" fontId="21" fillId="6" borderId="0" xfId="0" applyFont="1" applyFill="1" applyAlignment="1">
      <alignment horizontal="center" vertical="center" wrapText="1"/>
    </xf>
    <xf numFmtId="0" fontId="21" fillId="0" borderId="0" xfId="0" applyFont="1" applyAlignment="1">
      <alignment horizontal="center" vertical="center" wrapText="1"/>
    </xf>
    <xf numFmtId="0" fontId="2" fillId="6" borderId="0" xfId="0" applyFont="1" applyFill="1" applyAlignment="1">
      <alignment horizontal="center" vertical="center"/>
    </xf>
    <xf numFmtId="0" fontId="24" fillId="6" borderId="12" xfId="0" applyFont="1" applyFill="1" applyBorder="1" applyAlignment="1">
      <alignment horizontal="center" vertical="center"/>
    </xf>
    <xf numFmtId="0" fontId="25" fillId="6" borderId="0" xfId="0" applyFont="1" applyFill="1" applyAlignment="1">
      <alignment horizontal="center" vertical="center"/>
    </xf>
    <xf numFmtId="3" fontId="25" fillId="6" borderId="0" xfId="0" applyNumberFormat="1" applyFont="1" applyFill="1" applyAlignment="1">
      <alignment horizontal="center" vertical="center"/>
    </xf>
    <xf numFmtId="0" fontId="26" fillId="0" borderId="2" xfId="0" applyFont="1" applyBorder="1" applyAlignment="1">
      <alignment horizontal="center" vertical="center"/>
    </xf>
    <xf numFmtId="0" fontId="2" fillId="0" borderId="0" xfId="0" applyFont="1" applyAlignment="1">
      <alignment horizontal="center" vertical="center"/>
    </xf>
    <xf numFmtId="7" fontId="2" fillId="0" borderId="0" xfId="0" applyNumberFormat="1" applyFont="1" applyAlignment="1">
      <alignment horizontal="center" vertical="center"/>
    </xf>
    <xf numFmtId="0" fontId="27" fillId="6" borderId="0" xfId="0" applyFont="1" applyFill="1" applyAlignment="1">
      <alignment horizontal="center" vertical="center"/>
    </xf>
    <xf numFmtId="0" fontId="25" fillId="6" borderId="0" xfId="0" applyFont="1" applyFill="1" applyAlignment="1">
      <alignment horizontal="left" vertical="center"/>
    </xf>
    <xf numFmtId="3" fontId="25" fillId="6" borderId="0" xfId="1" applyNumberFormat="1" applyFont="1" applyFill="1" applyAlignment="1">
      <alignment horizontal="center" vertical="center"/>
    </xf>
    <xf numFmtId="0" fontId="21" fillId="0" borderId="2" xfId="0" applyFont="1" applyBorder="1" applyAlignment="1">
      <alignment horizontal="center" vertical="center"/>
    </xf>
    <xf numFmtId="0" fontId="25"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1" fillId="3" borderId="0" xfId="0" applyFont="1" applyFill="1" applyBorder="1" applyAlignment="1">
      <alignment horizontal="center"/>
    </xf>
    <xf numFmtId="0" fontId="21" fillId="3" borderId="9" xfId="0" applyFont="1" applyFill="1" applyBorder="1" applyAlignment="1">
      <alignment horizontal="center"/>
    </xf>
    <xf numFmtId="0" fontId="2" fillId="6" borderId="0" xfId="0" applyFont="1" applyFill="1" applyBorder="1" applyAlignment="1">
      <alignment horizontal="center"/>
    </xf>
    <xf numFmtId="0" fontId="21" fillId="3" borderId="12" xfId="0" applyFont="1" applyFill="1" applyBorder="1" applyAlignment="1">
      <alignment horizontal="center"/>
    </xf>
    <xf numFmtId="0" fontId="21" fillId="3" borderId="18" xfId="0" applyFont="1" applyFill="1" applyBorder="1" applyAlignment="1">
      <alignment horizontal="center"/>
    </xf>
    <xf numFmtId="0" fontId="21" fillId="3" borderId="6" xfId="0" applyFont="1" applyFill="1" applyBorder="1" applyAlignment="1">
      <alignment horizontal="center"/>
    </xf>
    <xf numFmtId="0" fontId="21" fillId="3" borderId="7" xfId="0" applyFont="1" applyFill="1" applyBorder="1" applyAlignment="1">
      <alignment horizontal="center" wrapText="1"/>
    </xf>
    <xf numFmtId="0" fontId="2" fillId="2" borderId="6" xfId="0" applyFont="1" applyFill="1" applyBorder="1" applyAlignment="1">
      <alignment horizontal="center"/>
    </xf>
    <xf numFmtId="3" fontId="2" fillId="2" borderId="7" xfId="0" applyNumberFormat="1" applyFont="1" applyFill="1" applyBorder="1" applyAlignment="1">
      <alignment horizontal="center" wrapText="1"/>
    </xf>
    <xf numFmtId="0" fontId="2" fillId="2" borderId="0" xfId="0" applyFont="1" applyFill="1" applyBorder="1" applyAlignment="1">
      <alignment horizontal="center" vertical="center"/>
    </xf>
    <xf numFmtId="3" fontId="2" fillId="2" borderId="9" xfId="0" applyNumberFormat="1" applyFont="1" applyFill="1" applyBorder="1" applyAlignment="1">
      <alignment horizontal="center" wrapText="1"/>
    </xf>
    <xf numFmtId="0" fontId="2" fillId="6" borderId="0" xfId="0" applyFont="1" applyFill="1" applyBorder="1" applyAlignment="1">
      <alignment horizontal="center" vertical="center"/>
    </xf>
    <xf numFmtId="0" fontId="2" fillId="0" borderId="0" xfId="0" applyFont="1" applyAlignment="1">
      <alignment wrapText="1"/>
    </xf>
    <xf numFmtId="0" fontId="23" fillId="6" borderId="0" xfId="0" applyFont="1" applyFill="1" applyBorder="1" applyAlignment="1">
      <alignment horizontal="left" vertical="center"/>
    </xf>
    <xf numFmtId="0" fontId="2" fillId="2" borderId="8" xfId="0" applyFont="1" applyFill="1" applyBorder="1" applyAlignment="1">
      <alignment horizontal="center" vertical="center"/>
    </xf>
    <xf numFmtId="3" fontId="2" fillId="2" borderId="10" xfId="0" applyNumberFormat="1" applyFont="1" applyFill="1" applyBorder="1" applyAlignment="1">
      <alignment horizontal="center" wrapText="1"/>
    </xf>
    <xf numFmtId="0" fontId="2" fillId="6" borderId="21" xfId="0" applyFont="1" applyFill="1" applyBorder="1" applyAlignment="1">
      <alignment wrapText="1"/>
    </xf>
    <xf numFmtId="0" fontId="2" fillId="0" borderId="21" xfId="0" applyFont="1" applyBorder="1" applyAlignment="1">
      <alignment wrapText="1"/>
    </xf>
    <xf numFmtId="0" fontId="2" fillId="6" borderId="21" xfId="0" applyFont="1" applyFill="1" applyBorder="1"/>
    <xf numFmtId="0" fontId="2" fillId="6" borderId="20" xfId="0" applyFont="1" applyFill="1" applyBorder="1" applyAlignment="1">
      <alignment wrapText="1"/>
    </xf>
    <xf numFmtId="0" fontId="2" fillId="0" borderId="20" xfId="0" applyFont="1" applyBorder="1" applyAlignment="1">
      <alignment wrapText="1"/>
    </xf>
    <xf numFmtId="0" fontId="2" fillId="6" borderId="20" xfId="0" applyFont="1" applyFill="1" applyBorder="1"/>
    <xf numFmtId="0" fontId="28" fillId="6" borderId="12" xfId="0" applyFont="1" applyFill="1" applyBorder="1" applyAlignment="1">
      <alignment horizontal="center" vertical="center"/>
    </xf>
    <xf numFmtId="0" fontId="2" fillId="6" borderId="22" xfId="0" applyFont="1" applyFill="1" applyBorder="1" applyAlignment="1">
      <alignment wrapText="1"/>
    </xf>
    <xf numFmtId="0" fontId="2" fillId="0" borderId="22" xfId="0" applyFont="1" applyBorder="1" applyAlignment="1">
      <alignment wrapText="1"/>
    </xf>
    <xf numFmtId="0" fontId="2" fillId="6" borderId="22" xfId="0" applyFont="1" applyFill="1" applyBorder="1"/>
    <xf numFmtId="0" fontId="2" fillId="6" borderId="27" xfId="0" applyFont="1" applyFill="1" applyBorder="1"/>
    <xf numFmtId="0" fontId="21" fillId="6" borderId="26"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 fillId="2" borderId="28" xfId="0" applyFont="1" applyFill="1" applyBorder="1" applyAlignment="1">
      <alignment horizontal="center" vertical="center"/>
    </xf>
    <xf numFmtId="0" fontId="21" fillId="5" borderId="30" xfId="0" applyFont="1" applyFill="1" applyBorder="1" applyAlignment="1" applyProtection="1">
      <alignment horizontal="center" vertical="center"/>
      <protection locked="0"/>
    </xf>
    <xf numFmtId="164" fontId="21" fillId="5" borderId="30" xfId="0" applyNumberFormat="1" applyFont="1" applyFill="1" applyBorder="1" applyAlignment="1" applyProtection="1">
      <alignment horizontal="center" vertical="center"/>
      <protection locked="0"/>
    </xf>
    <xf numFmtId="7" fontId="21" fillId="5" borderId="30" xfId="2" applyNumberFormat="1" applyFont="1" applyFill="1" applyBorder="1" applyAlignment="1" applyProtection="1">
      <alignment horizontal="center" vertical="center"/>
      <protection locked="0"/>
    </xf>
    <xf numFmtId="2" fontId="21" fillId="5" borderId="30" xfId="0" applyNumberFormat="1" applyFont="1" applyFill="1" applyBorder="1" applyAlignment="1" applyProtection="1">
      <alignment horizontal="center" vertical="center"/>
      <protection locked="0"/>
    </xf>
    <xf numFmtId="0" fontId="21" fillId="3" borderId="26" xfId="0" applyFont="1" applyFill="1" applyBorder="1" applyAlignment="1">
      <alignment horizontal="center"/>
    </xf>
    <xf numFmtId="0" fontId="2" fillId="0" borderId="0" xfId="0" applyFont="1" applyBorder="1" applyAlignment="1">
      <alignment wrapText="1"/>
    </xf>
    <xf numFmtId="0" fontId="2" fillId="6" borderId="0" xfId="0" applyFont="1" applyFill="1" applyBorder="1" applyAlignment="1">
      <alignment horizontal="left" vertical="center"/>
    </xf>
    <xf numFmtId="0" fontId="2" fillId="6" borderId="0" xfId="0" applyFont="1" applyFill="1" applyBorder="1" applyAlignment="1"/>
    <xf numFmtId="0" fontId="23" fillId="6" borderId="32" xfId="0" applyFont="1" applyFill="1" applyBorder="1" applyAlignment="1">
      <alignment horizontal="left" vertical="center"/>
    </xf>
    <xf numFmtId="0" fontId="2" fillId="6" borderId="32" xfId="0" applyFont="1" applyFill="1" applyBorder="1" applyAlignment="1">
      <alignment horizontal="left" vertical="center"/>
    </xf>
    <xf numFmtId="0" fontId="2" fillId="6" borderId="23" xfId="0" applyFont="1" applyFill="1" applyBorder="1" applyAlignment="1">
      <alignment wrapText="1"/>
    </xf>
    <xf numFmtId="0" fontId="2" fillId="6" borderId="24" xfId="0" applyFont="1" applyFill="1" applyBorder="1" applyAlignment="1">
      <alignment wrapText="1"/>
    </xf>
    <xf numFmtId="0" fontId="2" fillId="6" borderId="25" xfId="0" applyFont="1" applyFill="1" applyBorder="1"/>
    <xf numFmtId="0" fontId="2" fillId="6" borderId="33" xfId="0" applyFont="1" applyFill="1" applyBorder="1" applyAlignment="1">
      <alignment horizontal="left" vertical="center"/>
    </xf>
    <xf numFmtId="0" fontId="2" fillId="6" borderId="34" xfId="0" applyFont="1" applyFill="1" applyBorder="1" applyAlignment="1">
      <alignment horizontal="left" vertical="center"/>
    </xf>
    <xf numFmtId="0" fontId="2" fillId="6" borderId="35" xfId="0" applyFont="1" applyFill="1" applyBorder="1" applyAlignment="1">
      <alignment wrapText="1"/>
    </xf>
    <xf numFmtId="0" fontId="2" fillId="0" borderId="35" xfId="0" applyFont="1" applyBorder="1" applyAlignment="1">
      <alignment wrapText="1"/>
    </xf>
    <xf numFmtId="0" fontId="2" fillId="6" borderId="36" xfId="0" applyFont="1" applyFill="1" applyBorder="1"/>
    <xf numFmtId="0" fontId="5" fillId="2" borderId="3" xfId="0" applyFont="1" applyFill="1" applyBorder="1" applyAlignment="1">
      <alignment vertical="center"/>
    </xf>
    <xf numFmtId="0" fontId="2" fillId="2" borderId="18" xfId="0" applyFont="1" applyFill="1" applyBorder="1" applyAlignment="1">
      <alignment horizontal="center"/>
    </xf>
    <xf numFmtId="0" fontId="2" fillId="2" borderId="13" xfId="0" applyFont="1" applyFill="1" applyBorder="1" applyAlignment="1">
      <alignment horizontal="center" vertical="center"/>
    </xf>
    <xf numFmtId="0" fontId="2" fillId="2" borderId="19" xfId="0" applyFont="1" applyFill="1" applyBorder="1" applyAlignment="1">
      <alignment horizontal="center" vertical="center"/>
    </xf>
    <xf numFmtId="5" fontId="0" fillId="0" borderId="0" xfId="0" applyNumberFormat="1" applyAlignment="1">
      <alignment vertical="center"/>
    </xf>
    <xf numFmtId="165" fontId="0" fillId="0" borderId="0" xfId="0" applyNumberFormat="1" applyAlignment="1">
      <alignment vertical="center"/>
    </xf>
    <xf numFmtId="0" fontId="5" fillId="2" borderId="0" xfId="0" applyFont="1" applyFill="1" applyBorder="1" applyAlignment="1">
      <alignment horizontal="center" vertical="center"/>
    </xf>
    <xf numFmtId="0" fontId="21" fillId="3" borderId="2" xfId="0" applyFont="1" applyFill="1" applyBorder="1" applyAlignment="1">
      <alignment horizontal="center" wrapText="1"/>
    </xf>
    <xf numFmtId="0" fontId="21" fillId="6" borderId="2" xfId="0" applyFont="1" applyFill="1" applyBorder="1" applyAlignment="1">
      <alignment horizontal="center" vertical="center"/>
    </xf>
    <xf numFmtId="1" fontId="2" fillId="6" borderId="2" xfId="0" applyNumberFormat="1" applyFont="1" applyFill="1" applyBorder="1" applyAlignment="1">
      <alignment horizontal="center" vertical="center"/>
    </xf>
    <xf numFmtId="1" fontId="2" fillId="6" borderId="12" xfId="0" applyNumberFormat="1" applyFont="1" applyFill="1" applyBorder="1" applyAlignment="1">
      <alignment horizontal="center" vertical="center"/>
    </xf>
    <xf numFmtId="0" fontId="21" fillId="2" borderId="37" xfId="0" applyFont="1" applyFill="1" applyBorder="1" applyAlignment="1">
      <alignment horizontal="center"/>
    </xf>
    <xf numFmtId="49" fontId="2" fillId="6" borderId="29" xfId="0" applyNumberFormat="1" applyFont="1" applyFill="1" applyBorder="1" applyAlignment="1">
      <alignment horizontal="center" vertical="center"/>
    </xf>
    <xf numFmtId="0" fontId="21" fillId="2" borderId="26"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1" xfId="0" applyFont="1" applyFill="1" applyBorder="1" applyAlignment="1">
      <alignment horizontal="center" vertical="center"/>
    </xf>
    <xf numFmtId="2" fontId="27" fillId="6" borderId="0" xfId="0" applyNumberFormat="1" applyFont="1" applyFill="1" applyAlignment="1">
      <alignment horizontal="center" vertical="center"/>
    </xf>
    <xf numFmtId="4" fontId="31" fillId="10" borderId="30" xfId="0" applyNumberFormat="1" applyFont="1" applyFill="1" applyBorder="1" applyAlignment="1" applyProtection="1">
      <alignment horizontal="center" vertical="center"/>
      <protection locked="0"/>
    </xf>
    <xf numFmtId="4" fontId="31" fillId="10" borderId="5" xfId="0" applyNumberFormat="1" applyFont="1" applyFill="1" applyBorder="1" applyAlignment="1" applyProtection="1">
      <alignment horizontal="center" vertical="center"/>
      <protection locked="0"/>
    </xf>
    <xf numFmtId="0" fontId="30" fillId="6" borderId="2" xfId="0" applyFont="1" applyFill="1" applyBorder="1" applyAlignment="1">
      <alignment horizontal="center" vertical="center" wrapText="1"/>
    </xf>
    <xf numFmtId="0" fontId="0" fillId="6" borderId="2" xfId="0" applyFill="1" applyBorder="1" applyAlignment="1">
      <alignment horizontal="center" wrapText="1"/>
    </xf>
    <xf numFmtId="0" fontId="0" fillId="6" borderId="2" xfId="0" applyFill="1" applyBorder="1" applyAlignment="1">
      <alignment horizontal="center"/>
    </xf>
    <xf numFmtId="3" fontId="0" fillId="6" borderId="2" xfId="0" applyNumberFormat="1" applyFill="1" applyBorder="1" applyAlignment="1">
      <alignment horizontal="center"/>
    </xf>
    <xf numFmtId="0" fontId="0" fillId="6" borderId="12" xfId="0" applyFill="1" applyBorder="1" applyAlignment="1">
      <alignment horizontal="center" wrapText="1"/>
    </xf>
    <xf numFmtId="0" fontId="0" fillId="6" borderId="12" xfId="0" applyFill="1" applyBorder="1" applyAlignment="1">
      <alignment horizontal="center"/>
    </xf>
    <xf numFmtId="0" fontId="5" fillId="2" borderId="3" xfId="0" applyFont="1" applyFill="1" applyBorder="1" applyAlignment="1">
      <alignment vertical="center"/>
    </xf>
    <xf numFmtId="0" fontId="2" fillId="2" borderId="14"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12" xfId="0" applyFont="1" applyFill="1" applyBorder="1" applyAlignment="1">
      <alignment horizontal="left" vertical="center" indent="1"/>
    </xf>
    <xf numFmtId="0" fontId="33" fillId="11" borderId="14" xfId="0" applyFont="1" applyFill="1" applyBorder="1" applyAlignment="1">
      <alignment horizontal="left" vertical="center" indent="4"/>
    </xf>
    <xf numFmtId="0" fontId="33" fillId="11" borderId="5" xfId="0" applyFont="1" applyFill="1" applyBorder="1" applyAlignment="1">
      <alignment horizontal="left" vertical="center" indent="4"/>
    </xf>
    <xf numFmtId="0" fontId="33" fillId="11" borderId="12" xfId="0" applyFont="1" applyFill="1" applyBorder="1" applyAlignment="1">
      <alignment horizontal="left" vertical="center" indent="4"/>
    </xf>
    <xf numFmtId="0" fontId="34" fillId="10" borderId="30" xfId="0" applyFont="1" applyFill="1" applyBorder="1" applyAlignment="1" applyProtection="1">
      <alignment horizontal="center" vertical="center"/>
      <protection locked="0"/>
    </xf>
    <xf numFmtId="4" fontId="34" fillId="10" borderId="30" xfId="0" applyNumberFormat="1" applyFont="1" applyFill="1" applyBorder="1" applyAlignment="1" applyProtection="1">
      <alignment horizontal="center" vertical="center"/>
      <protection locked="0"/>
    </xf>
    <xf numFmtId="3" fontId="34" fillId="10" borderId="30" xfId="0" applyNumberFormat="1" applyFont="1" applyFill="1" applyBorder="1" applyAlignment="1" applyProtection="1">
      <alignment horizontal="center" vertical="center"/>
      <protection locked="0"/>
    </xf>
    <xf numFmtId="9" fontId="21" fillId="5" borderId="30" xfId="2" applyNumberFormat="1" applyFont="1" applyFill="1" applyBorder="1" applyAlignment="1" applyProtection="1">
      <alignment horizontal="center" vertical="center"/>
      <protection locked="0"/>
    </xf>
    <xf numFmtId="0" fontId="33" fillId="6" borderId="14" xfId="0" applyFont="1" applyFill="1" applyBorder="1" applyAlignment="1">
      <alignment horizontal="left" vertical="center" indent="4"/>
    </xf>
    <xf numFmtId="0" fontId="33" fillId="6" borderId="5" xfId="0" applyFont="1" applyFill="1" applyBorder="1" applyAlignment="1">
      <alignment horizontal="left" vertical="center" indent="4"/>
    </xf>
    <xf numFmtId="0" fontId="33" fillId="6" borderId="12" xfId="0" applyFont="1" applyFill="1" applyBorder="1" applyAlignment="1">
      <alignment horizontal="left" vertical="center" indent="4"/>
    </xf>
    <xf numFmtId="0" fontId="5" fillId="2" borderId="3" xfId="0" applyFont="1" applyFill="1" applyBorder="1" applyAlignment="1">
      <alignment vertical="center"/>
    </xf>
    <xf numFmtId="0" fontId="21" fillId="6" borderId="0" xfId="0" applyFont="1" applyFill="1" applyBorder="1" applyAlignment="1">
      <alignment horizontal="center" vertical="center"/>
    </xf>
    <xf numFmtId="1" fontId="2" fillId="6" borderId="0" xfId="0" applyNumberFormat="1" applyFont="1" applyFill="1" applyBorder="1" applyAlignment="1">
      <alignment horizontal="center" vertical="center"/>
    </xf>
    <xf numFmtId="1" fontId="2" fillId="6" borderId="0" xfId="0" applyNumberFormat="1" applyFont="1" applyFill="1" applyBorder="1" applyAlignment="1">
      <alignment horizontal="center"/>
    </xf>
    <xf numFmtId="0" fontId="2" fillId="6" borderId="27" xfId="0" applyFont="1" applyFill="1" applyBorder="1" applyAlignment="1">
      <alignment horizontal="center"/>
    </xf>
    <xf numFmtId="0" fontId="0" fillId="6" borderId="0" xfId="0" applyFill="1" applyAlignment="1">
      <alignment vertical="center"/>
    </xf>
    <xf numFmtId="165" fontId="5" fillId="6" borderId="9" xfId="0" applyNumberFormat="1" applyFont="1" applyFill="1" applyBorder="1" applyAlignment="1">
      <alignment horizontal="center" vertical="center"/>
    </xf>
    <xf numFmtId="0" fontId="2" fillId="6" borderId="14" xfId="0" applyFont="1" applyFill="1" applyBorder="1" applyAlignment="1">
      <alignment horizontal="left" vertical="center" indent="1"/>
    </xf>
    <xf numFmtId="0" fontId="2" fillId="6" borderId="5" xfId="0" applyFont="1" applyFill="1" applyBorder="1" applyAlignment="1">
      <alignment horizontal="left" vertical="center" indent="1"/>
    </xf>
    <xf numFmtId="0" fontId="2" fillId="6" borderId="12" xfId="0" applyFont="1" applyFill="1" applyBorder="1" applyAlignment="1">
      <alignment horizontal="left" vertical="center" indent="1"/>
    </xf>
    <xf numFmtId="0" fontId="22" fillId="4" borderId="18" xfId="0" applyFont="1" applyFill="1" applyBorder="1" applyAlignment="1">
      <alignment horizontal="center" wrapText="1"/>
    </xf>
    <xf numFmtId="0" fontId="2" fillId="6" borderId="26" xfId="0" applyFont="1" applyFill="1" applyBorder="1" applyAlignment="1">
      <alignment wrapText="1"/>
    </xf>
    <xf numFmtId="0" fontId="2" fillId="6" borderId="0" xfId="0" applyFont="1" applyFill="1" applyBorder="1" applyAlignment="1">
      <alignment wrapText="1"/>
    </xf>
    <xf numFmtId="0" fontId="21" fillId="3" borderId="2" xfId="0" applyFont="1" applyFill="1" applyBorder="1" applyAlignment="1">
      <alignment horizontal="center"/>
    </xf>
    <xf numFmtId="0" fontId="21" fillId="3" borderId="29" xfId="0" applyFont="1" applyFill="1" applyBorder="1" applyAlignment="1">
      <alignment horizontal="center"/>
    </xf>
    <xf numFmtId="9" fontId="34" fillId="10" borderId="30" xfId="0" applyNumberFormat="1" applyFont="1" applyFill="1" applyBorder="1" applyAlignment="1" applyProtection="1">
      <alignment horizontal="center" vertical="center"/>
    </xf>
    <xf numFmtId="0" fontId="2" fillId="0" borderId="26" xfId="0" applyFont="1" applyBorder="1"/>
    <xf numFmtId="0" fontId="2" fillId="0" borderId="0" xfId="0" applyFont="1" applyBorder="1"/>
    <xf numFmtId="0" fontId="2" fillId="2" borderId="2" xfId="0" applyFont="1" applyFill="1" applyBorder="1" applyAlignment="1">
      <alignment horizontal="left" vertical="center" indent="1"/>
    </xf>
    <xf numFmtId="0" fontId="2" fillId="6" borderId="14" xfId="0" applyFont="1" applyFill="1" applyBorder="1" applyAlignment="1">
      <alignment horizontal="left" vertical="center" indent="1"/>
    </xf>
    <xf numFmtId="0" fontId="2" fillId="6" borderId="5" xfId="0" applyFont="1" applyFill="1" applyBorder="1" applyAlignment="1">
      <alignment horizontal="left" vertical="center" indent="1"/>
    </xf>
    <xf numFmtId="0" fontId="2" fillId="6" borderId="12" xfId="0" applyFont="1" applyFill="1" applyBorder="1" applyAlignment="1">
      <alignment horizontal="left" vertical="center" indent="1"/>
    </xf>
    <xf numFmtId="0" fontId="30" fillId="6" borderId="12"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21" fillId="0" borderId="26" xfId="0" applyFont="1" applyBorder="1" applyAlignment="1">
      <alignment horizontal="center" vertical="center"/>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33" fillId="11" borderId="14" xfId="0" applyFont="1" applyFill="1" applyBorder="1" applyAlignment="1">
      <alignment horizontal="left" vertical="center" indent="3"/>
    </xf>
    <xf numFmtId="0" fontId="33" fillId="11" borderId="5" xfId="0" applyFont="1" applyFill="1" applyBorder="1" applyAlignment="1">
      <alignment horizontal="left" vertical="center" indent="3"/>
    </xf>
    <xf numFmtId="0" fontId="33" fillId="11" borderId="12" xfId="0" applyFont="1" applyFill="1" applyBorder="1" applyAlignment="1">
      <alignment horizontal="left" vertical="center" indent="3"/>
    </xf>
    <xf numFmtId="0" fontId="21" fillId="3" borderId="31" xfId="0" applyFont="1" applyFill="1" applyBorder="1" applyAlignment="1">
      <alignment horizontal="center"/>
    </xf>
    <xf numFmtId="0" fontId="21" fillId="3" borderId="10" xfId="0" applyFont="1" applyFill="1" applyBorder="1" applyAlignment="1">
      <alignment horizontal="center"/>
    </xf>
    <xf numFmtId="0" fontId="22" fillId="4" borderId="28" xfId="0" applyFont="1" applyFill="1" applyBorder="1" applyAlignment="1">
      <alignment horizontal="center" wrapText="1"/>
    </xf>
    <xf numFmtId="0" fontId="22" fillId="4" borderId="18" xfId="0" applyFont="1" applyFill="1" applyBorder="1" applyAlignment="1">
      <alignment horizontal="center" wrapText="1"/>
    </xf>
    <xf numFmtId="0" fontId="2" fillId="6" borderId="26" xfId="0" applyFont="1" applyFill="1" applyBorder="1" applyAlignment="1">
      <alignment wrapText="1"/>
    </xf>
    <xf numFmtId="0" fontId="2" fillId="6" borderId="0" xfId="0" applyFont="1" applyFill="1" applyBorder="1" applyAlignment="1">
      <alignment wrapText="1"/>
    </xf>
    <xf numFmtId="0" fontId="2" fillId="6" borderId="27" xfId="0" applyFont="1" applyFill="1" applyBorder="1" applyAlignment="1">
      <alignment wrapText="1"/>
    </xf>
    <xf numFmtId="0" fontId="2" fillId="6" borderId="2" xfId="0" applyFont="1" applyFill="1" applyBorder="1" applyAlignment="1">
      <alignment horizontal="left" vertical="center" indent="1"/>
    </xf>
    <xf numFmtId="0" fontId="21" fillId="3" borderId="2" xfId="0" applyFont="1" applyFill="1" applyBorder="1" applyAlignment="1">
      <alignment horizontal="center"/>
    </xf>
    <xf numFmtId="0" fontId="21" fillId="3" borderId="29" xfId="0" applyFont="1" applyFill="1" applyBorder="1" applyAlignment="1">
      <alignment horizontal="center"/>
    </xf>
    <xf numFmtId="0" fontId="4" fillId="2" borderId="3" xfId="0" applyFont="1" applyFill="1" applyBorder="1" applyAlignment="1">
      <alignment horizontal="right" vertical="center" wrapText="1"/>
    </xf>
    <xf numFmtId="0" fontId="4" fillId="2" borderId="0" xfId="0" applyFont="1" applyFill="1" applyBorder="1" applyAlignment="1">
      <alignment horizontal="right" vertical="center" wrapText="1"/>
    </xf>
    <xf numFmtId="165" fontId="17" fillId="8" borderId="2" xfId="0" applyNumberFormat="1" applyFont="1" applyFill="1" applyBorder="1" applyAlignment="1">
      <alignment horizontal="center" vertical="center"/>
    </xf>
    <xf numFmtId="6" fontId="5" fillId="2" borderId="2" xfId="0" applyNumberFormat="1" applyFont="1" applyFill="1" applyBorder="1" applyAlignment="1">
      <alignment horizontal="center" vertical="center"/>
    </xf>
    <xf numFmtId="6" fontId="4" fillId="7" borderId="2" xfId="0" applyNumberFormat="1" applyFont="1" applyFill="1" applyBorder="1" applyAlignment="1">
      <alignment horizontal="center" vertical="center"/>
    </xf>
    <xf numFmtId="5" fontId="7" fillId="0" borderId="14" xfId="0" applyNumberFormat="1" applyFont="1" applyBorder="1" applyAlignment="1">
      <alignment horizontal="center" vertical="center"/>
    </xf>
    <xf numFmtId="5" fontId="7" fillId="0" borderId="12" xfId="0" applyNumberFormat="1" applyFont="1" applyBorder="1" applyAlignment="1">
      <alignment horizontal="center" vertical="center"/>
    </xf>
    <xf numFmtId="165" fontId="7" fillId="0" borderId="14" xfId="0" applyNumberFormat="1" applyFont="1" applyBorder="1" applyAlignment="1">
      <alignment horizontal="center" vertical="center"/>
    </xf>
    <xf numFmtId="165" fontId="7" fillId="0" borderId="12" xfId="0" applyNumberFormat="1" applyFont="1" applyBorder="1" applyAlignment="1">
      <alignment horizontal="center" vertical="center"/>
    </xf>
    <xf numFmtId="0" fontId="11" fillId="9" borderId="14"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12" xfId="0" applyFont="1" applyFill="1" applyBorder="1" applyAlignment="1">
      <alignment horizontal="center" vertical="center"/>
    </xf>
    <xf numFmtId="166" fontId="10" fillId="10" borderId="5" xfId="2" applyNumberFormat="1" applyFont="1" applyFill="1" applyBorder="1" applyAlignment="1">
      <alignment horizontal="center" vertical="center"/>
    </xf>
    <xf numFmtId="166" fontId="10" fillId="10" borderId="12" xfId="2" applyNumberFormat="1" applyFont="1" applyFill="1" applyBorder="1" applyAlignment="1">
      <alignment horizontal="center" vertical="center"/>
    </xf>
    <xf numFmtId="6" fontId="5" fillId="2" borderId="14" xfId="0" applyNumberFormat="1" applyFont="1" applyFill="1" applyBorder="1" applyAlignment="1">
      <alignment horizontal="center" vertical="center"/>
    </xf>
    <xf numFmtId="6" fontId="5" fillId="2" borderId="12" xfId="0" applyNumberFormat="1" applyFont="1" applyFill="1" applyBorder="1" applyAlignment="1">
      <alignment horizontal="center" vertical="center"/>
    </xf>
    <xf numFmtId="165" fontId="5" fillId="2" borderId="6"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12" xfId="0" applyFont="1" applyFill="1" applyBorder="1" applyAlignment="1">
      <alignment horizontal="center" vertical="center"/>
    </xf>
    <xf numFmtId="164" fontId="5" fillId="2" borderId="14"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37" fontId="5" fillId="2" borderId="2" xfId="1" applyNumberFormat="1" applyFont="1" applyFill="1" applyBorder="1" applyAlignment="1">
      <alignment horizontal="center" vertical="center"/>
    </xf>
    <xf numFmtId="37" fontId="5" fillId="2" borderId="14" xfId="1" applyNumberFormat="1" applyFont="1" applyFill="1" applyBorder="1" applyAlignment="1">
      <alignment horizontal="center" vertical="center"/>
    </xf>
    <xf numFmtId="0" fontId="19" fillId="8" borderId="2" xfId="0" applyFont="1" applyFill="1" applyBorder="1" applyAlignment="1">
      <alignment horizontal="center" vertical="center"/>
    </xf>
    <xf numFmtId="5" fontId="5" fillId="2" borderId="2" xfId="1" applyNumberFormat="1" applyFont="1" applyFill="1" applyBorder="1" applyAlignment="1">
      <alignment horizontal="center" vertical="center"/>
    </xf>
    <xf numFmtId="165" fontId="5" fillId="2" borderId="14"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5" fillId="6" borderId="14" xfId="0" applyFont="1" applyFill="1" applyBorder="1" applyAlignment="1">
      <alignment vertical="center"/>
    </xf>
    <xf numFmtId="0" fontId="5" fillId="6" borderId="5" xfId="0" applyFont="1" applyFill="1" applyBorder="1" applyAlignment="1">
      <alignment vertical="center"/>
    </xf>
    <xf numFmtId="0" fontId="5" fillId="6" borderId="12" xfId="0" applyFont="1" applyFill="1" applyBorder="1" applyAlignment="1">
      <alignment vertical="center"/>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11" xfId="0" applyFont="1" applyFill="1" applyBorder="1" applyAlignment="1">
      <alignment vertical="center"/>
    </xf>
    <xf numFmtId="0" fontId="5" fillId="2" borderId="6" xfId="0" applyFont="1" applyFill="1" applyBorder="1" applyAlignment="1">
      <alignment vertical="center"/>
    </xf>
    <xf numFmtId="0" fontId="17" fillId="8" borderId="14"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12" xfId="0" applyFont="1" applyFill="1" applyBorder="1" applyAlignment="1">
      <alignment horizontal="center" vertical="center"/>
    </xf>
    <xf numFmtId="0" fontId="5" fillId="2" borderId="3" xfId="0" applyFont="1" applyFill="1" applyBorder="1" applyAlignment="1">
      <alignment vertical="center"/>
    </xf>
    <xf numFmtId="0" fontId="5" fillId="2" borderId="0" xfId="0" applyFont="1" applyFill="1" applyBorder="1" applyAlignment="1">
      <alignment vertical="center"/>
    </xf>
    <xf numFmtId="5" fontId="5" fillId="2" borderId="0" xfId="1" applyNumberFormat="1" applyFont="1" applyFill="1" applyBorder="1" applyAlignment="1">
      <alignment horizontal="center" vertical="center"/>
    </xf>
    <xf numFmtId="37" fontId="5" fillId="11" borderId="2" xfId="1" applyNumberFormat="1" applyFont="1" applyFill="1" applyBorder="1" applyAlignment="1">
      <alignment horizontal="center" vertical="center"/>
    </xf>
    <xf numFmtId="5" fontId="5" fillId="11" borderId="2" xfId="1" applyNumberFormat="1" applyFont="1" applyFill="1" applyBorder="1" applyAlignment="1">
      <alignment horizontal="center" vertical="center"/>
    </xf>
    <xf numFmtId="0" fontId="5" fillId="2" borderId="9" xfId="0" applyFont="1" applyFill="1" applyBorder="1" applyAlignment="1">
      <alignment vertical="center"/>
    </xf>
    <xf numFmtId="5" fontId="4" fillId="7" borderId="14" xfId="2" applyNumberFormat="1" applyFont="1" applyFill="1" applyBorder="1" applyAlignment="1">
      <alignment horizontal="center" vertical="center"/>
    </xf>
    <xf numFmtId="5" fontId="4" fillId="7" borderId="12" xfId="2" applyNumberFormat="1" applyFont="1" applyFill="1" applyBorder="1" applyAlignment="1">
      <alignment horizontal="center" vertical="center"/>
    </xf>
    <xf numFmtId="0" fontId="18" fillId="8" borderId="2" xfId="0" applyFont="1" applyFill="1" applyBorder="1" applyAlignment="1">
      <alignment horizontal="center" vertical="center" wrapText="1"/>
    </xf>
    <xf numFmtId="5" fontId="4" fillId="11" borderId="14" xfId="2" applyNumberFormat="1" applyFont="1" applyFill="1" applyBorder="1" applyAlignment="1">
      <alignment horizontal="center" vertical="center"/>
    </xf>
    <xf numFmtId="5" fontId="4" fillId="11" borderId="12" xfId="2" applyNumberFormat="1" applyFont="1" applyFill="1" applyBorder="1" applyAlignment="1">
      <alignment horizontal="center" vertical="center"/>
    </xf>
    <xf numFmtId="168" fontId="5" fillId="6" borderId="14" xfId="0" applyNumberFormat="1" applyFont="1" applyFill="1" applyBorder="1" applyAlignment="1">
      <alignment horizontal="center" vertical="center"/>
    </xf>
    <xf numFmtId="168" fontId="5" fillId="6" borderId="12" xfId="0" applyNumberFormat="1" applyFont="1" applyFill="1" applyBorder="1" applyAlignment="1">
      <alignment horizontal="center" vertical="center"/>
    </xf>
    <xf numFmtId="166" fontId="10" fillId="6" borderId="14" xfId="2" applyNumberFormat="1" applyFont="1" applyFill="1" applyBorder="1" applyAlignment="1">
      <alignment horizontal="center" vertical="center"/>
    </xf>
    <xf numFmtId="166" fontId="10" fillId="6" borderId="12" xfId="2" applyNumberFormat="1" applyFont="1" applyFill="1" applyBorder="1" applyAlignment="1">
      <alignment horizontal="center" vertical="center"/>
    </xf>
    <xf numFmtId="5" fontId="5" fillId="2" borderId="14" xfId="1" applyNumberFormat="1" applyFont="1" applyFill="1" applyBorder="1" applyAlignment="1">
      <alignment horizontal="center" vertical="center"/>
    </xf>
    <xf numFmtId="5" fontId="4" fillId="6" borderId="14" xfId="2" applyNumberFormat="1" applyFont="1" applyFill="1" applyBorder="1" applyAlignment="1">
      <alignment horizontal="center" vertical="center"/>
    </xf>
    <xf numFmtId="5" fontId="4" fillId="6" borderId="12" xfId="2" applyNumberFormat="1"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993366"/>
      <rgbColor rgb="00FFFFCC"/>
      <rgbColor rgb="00CCFFFF"/>
      <rgbColor rgb="00660066"/>
      <rgbColor rgb="00FF8080"/>
      <rgbColor rgb="000066CC"/>
      <rgbColor rgb="00CCFFCC"/>
      <rgbColor rgb="00000080"/>
      <rgbColor rgb="00FF00FF"/>
      <rgbColor rgb="00FFFF00"/>
      <rgbColor rgb="0000FFFF"/>
      <rgbColor rgb="00800080"/>
      <rgbColor rgb="00800000"/>
      <rgbColor rgb="00008080"/>
      <rgbColor rgb="000000FF"/>
      <rgbColor rgb="0000CCFF"/>
      <rgbColor rgb="00CCFFFF"/>
      <rgbColor rgb="00CCFFCC"/>
      <rgbColor rgb="00FFFF99"/>
      <rgbColor rgb="00CCFFCC"/>
      <rgbColor rgb="00CCFF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color rgb="FFFFFF99"/>
      <color rgb="FF9FD789"/>
      <color rgb="FF54BC74"/>
      <color rgb="FFFFFFCC"/>
      <color rgb="FFCCFFCC"/>
      <color rgb="FF7F0C03"/>
      <color rgb="FF669900"/>
      <color rgb="FF00CC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n-US"/>
              <a:t>Annual ROI</a:t>
            </a:r>
          </a:p>
        </c:rich>
      </c:tx>
      <c:overlay val="0"/>
      <c:spPr>
        <a:noFill/>
        <a:ln w="25400">
          <a:noFill/>
        </a:ln>
      </c:spPr>
    </c:title>
    <c:autoTitleDeleted val="0"/>
    <c:plotArea>
      <c:layout/>
      <c:barChart>
        <c:barDir val="col"/>
        <c:grouping val="clustered"/>
        <c:varyColors val="0"/>
        <c:ser>
          <c:idx val="0"/>
          <c:order val="0"/>
          <c:spPr>
            <a:solidFill>
              <a:srgbClr val="008000"/>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481-4663-866B-03841C7BB865}"/>
            </c:ext>
          </c:extLst>
        </c:ser>
        <c:dLbls>
          <c:showLegendKey val="0"/>
          <c:showVal val="0"/>
          <c:showCatName val="0"/>
          <c:showSerName val="0"/>
          <c:showPercent val="0"/>
          <c:showBubbleSize val="0"/>
        </c:dLbls>
        <c:gapWidth val="150"/>
        <c:axId val="117478912"/>
        <c:axId val="117480448"/>
      </c:barChart>
      <c:catAx>
        <c:axId val="117478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25" b="1" i="0" u="none" strike="noStrike" baseline="0">
                <a:solidFill>
                  <a:srgbClr val="000000"/>
                </a:solidFill>
                <a:latin typeface="Arial"/>
                <a:ea typeface="Arial"/>
                <a:cs typeface="Arial"/>
              </a:defRPr>
            </a:pPr>
            <a:endParaRPr lang="en-US"/>
          </a:p>
        </c:txPr>
        <c:crossAx val="117480448"/>
        <c:crosses val="autoZero"/>
        <c:auto val="1"/>
        <c:lblAlgn val="ctr"/>
        <c:lblOffset val="100"/>
        <c:tickLblSkip val="1"/>
        <c:tickMarkSkip val="1"/>
        <c:noMultiLvlLbl val="0"/>
      </c:catAx>
      <c:valAx>
        <c:axId val="117480448"/>
        <c:scaling>
          <c:orientation val="minMax"/>
          <c:min val="-200000"/>
        </c:scaling>
        <c:delete val="0"/>
        <c:axPos val="l"/>
        <c:majorGridlines>
          <c:spPr>
            <a:ln w="3175">
              <a:solidFill>
                <a:srgbClr val="000000"/>
              </a:solidFill>
              <a:prstDash val="solid"/>
            </a:ln>
          </c:spPr>
        </c:majorGridlines>
        <c:numFmt formatCode="\$#,##0_);\(\$#,##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17478912"/>
        <c:crosses val="autoZero"/>
        <c:crossBetween val="between"/>
        <c:minorUnit val="25000"/>
      </c:valAx>
      <c:spPr>
        <a:solidFill>
          <a:srgbClr val="CCFFCC"/>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n-US"/>
              <a:t>Annual ROI</a:t>
            </a:r>
          </a:p>
        </c:rich>
      </c:tx>
      <c:overlay val="0"/>
      <c:spPr>
        <a:noFill/>
        <a:ln w="25400">
          <a:noFill/>
        </a:ln>
      </c:spPr>
    </c:title>
    <c:autoTitleDeleted val="0"/>
    <c:plotArea>
      <c:layout/>
      <c:barChart>
        <c:barDir val="col"/>
        <c:grouping val="clustered"/>
        <c:varyColors val="0"/>
        <c:ser>
          <c:idx val="0"/>
          <c:order val="0"/>
          <c:spPr>
            <a:solidFill>
              <a:srgbClr val="008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91E-4B93-A40E-523038711947}"/>
            </c:ext>
          </c:extLst>
        </c:ser>
        <c:dLbls>
          <c:showLegendKey val="0"/>
          <c:showVal val="0"/>
          <c:showCatName val="0"/>
          <c:showSerName val="0"/>
          <c:showPercent val="0"/>
          <c:showBubbleSize val="0"/>
        </c:dLbls>
        <c:gapWidth val="150"/>
        <c:axId val="123942016"/>
        <c:axId val="123943552"/>
      </c:barChart>
      <c:catAx>
        <c:axId val="123942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25" b="1" i="0" u="none" strike="noStrike" baseline="0">
                <a:solidFill>
                  <a:srgbClr val="000000"/>
                </a:solidFill>
                <a:latin typeface="Arial"/>
                <a:ea typeface="Arial"/>
                <a:cs typeface="Arial"/>
              </a:defRPr>
            </a:pPr>
            <a:endParaRPr lang="en-US"/>
          </a:p>
        </c:txPr>
        <c:crossAx val="123943552"/>
        <c:crosses val="autoZero"/>
        <c:auto val="1"/>
        <c:lblAlgn val="ctr"/>
        <c:lblOffset val="100"/>
        <c:tickLblSkip val="1"/>
        <c:tickMarkSkip val="1"/>
        <c:noMultiLvlLbl val="0"/>
      </c:catAx>
      <c:valAx>
        <c:axId val="123943552"/>
        <c:scaling>
          <c:orientation val="minMax"/>
          <c:min val="-200000"/>
        </c:scaling>
        <c:delete val="0"/>
        <c:axPos val="l"/>
        <c:majorGridlines>
          <c:spPr>
            <a:ln w="3175">
              <a:solidFill>
                <a:srgbClr val="000000"/>
              </a:solidFill>
              <a:prstDash val="solid"/>
            </a:ln>
          </c:spPr>
        </c:majorGridlines>
        <c:numFmt formatCode="\$#,##0_);\(\$#,##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123942016"/>
        <c:crosses val="autoZero"/>
        <c:crossBetween val="between"/>
        <c:minorUnit val="25000"/>
      </c:valAx>
      <c:spPr>
        <a:solidFill>
          <a:srgbClr val="CCFFCC"/>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488" r="0.7500000000000048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200"/>
              <a:t>Total Cost of Ownership Comparison</a:t>
            </a:r>
          </a:p>
        </c:rich>
      </c:tx>
      <c:overlay val="0"/>
    </c:title>
    <c:autoTitleDeleted val="0"/>
    <c:plotArea>
      <c:layout>
        <c:manualLayout>
          <c:layoutTarget val="inner"/>
          <c:xMode val="edge"/>
          <c:yMode val="edge"/>
          <c:x val="0.13399831867049664"/>
          <c:y val="0.15131142827618074"/>
          <c:w val="0.64228315109558465"/>
          <c:h val="0.67651909882358996"/>
        </c:manualLayout>
      </c:layout>
      <c:barChart>
        <c:barDir val="col"/>
        <c:grouping val="stacked"/>
        <c:varyColors val="0"/>
        <c:ser>
          <c:idx val="0"/>
          <c:order val="0"/>
          <c:tx>
            <c:strRef>
              <c:f>'Total Cost of Ownership Summary'!$B$33</c:f>
              <c:strCache>
                <c:ptCount val="1"/>
                <c:pt idx="0">
                  <c:v>Net Investment</c:v>
                </c:pt>
              </c:strCache>
            </c:strRef>
          </c:tx>
          <c:spPr>
            <a:effectLst>
              <a:outerShdw blurRad="76200" dir="13500000" sy="23000" kx="1200000" algn="br" rotWithShape="0">
                <a:prstClr val="black">
                  <a:alpha val="20000"/>
                </a:prstClr>
              </a:outerShdw>
            </a:effectLst>
            <a:scene3d>
              <a:camera prst="orthographicFront"/>
              <a:lightRig rig="threePt" dir="t">
                <a:rot lat="0" lon="0" rev="1200000"/>
              </a:lightRig>
            </a:scene3d>
            <a:sp3d>
              <a:bevelT w="63500" h="25400"/>
              <a:bevelB/>
            </a:sp3d>
          </c:spPr>
          <c:invertIfNegative val="0"/>
          <c:cat>
            <c:strRef>
              <c:f>'Total Cost of Ownership Summary'!$C$29:$D$29</c:f>
              <c:strCache>
                <c:ptCount val="2"/>
                <c:pt idx="0">
                  <c:v>175W MH</c:v>
                </c:pt>
                <c:pt idx="1">
                  <c:v>LED</c:v>
                </c:pt>
              </c:strCache>
            </c:strRef>
          </c:cat>
          <c:val>
            <c:numRef>
              <c:f>'Total Cost of Ownership Summary'!$C$33:$D$33</c:f>
              <c:numCache>
                <c:formatCode>"$"#,##0_);\("$"#,##0\)</c:formatCode>
                <c:ptCount val="2"/>
                <c:pt idx="0" formatCode="&quot;$&quot;#,##0">
                  <c:v>30000</c:v>
                </c:pt>
                <c:pt idx="1">
                  <c:v>49250</c:v>
                </c:pt>
              </c:numCache>
            </c:numRef>
          </c:val>
          <c:extLst>
            <c:ext xmlns:c16="http://schemas.microsoft.com/office/drawing/2014/chart" uri="{C3380CC4-5D6E-409C-BE32-E72D297353CC}">
              <c16:uniqueId val="{00000000-03EA-426C-A07F-82AA48B9E012}"/>
            </c:ext>
          </c:extLst>
        </c:ser>
        <c:ser>
          <c:idx val="1"/>
          <c:order val="1"/>
          <c:tx>
            <c:strRef>
              <c:f>'Total Cost of Ownership Summary'!$B$34</c:f>
              <c:strCache>
                <c:ptCount val="1"/>
                <c:pt idx="0">
                  <c:v>Total Lighting Energy Costs</c:v>
                </c:pt>
              </c:strCache>
            </c:strRef>
          </c:tx>
          <c:spPr>
            <a:effectLst>
              <a:outerShdw blurRad="76200" dir="13500000" sy="23000" kx="1200000" algn="br" rotWithShape="0">
                <a:prstClr val="black">
                  <a:alpha val="20000"/>
                </a:prstClr>
              </a:outerShdw>
            </a:effectLst>
            <a:scene3d>
              <a:camera prst="orthographicFront"/>
              <a:lightRig rig="threePt" dir="t">
                <a:rot lat="0" lon="0" rev="1200000"/>
              </a:lightRig>
            </a:scene3d>
            <a:sp3d>
              <a:bevelT w="63500" h="25400"/>
              <a:bevelB/>
            </a:sp3d>
          </c:spPr>
          <c:invertIfNegative val="0"/>
          <c:cat>
            <c:strRef>
              <c:f>'Total Cost of Ownership Summary'!$C$29:$D$29</c:f>
              <c:strCache>
                <c:ptCount val="2"/>
                <c:pt idx="0">
                  <c:v>175W MH</c:v>
                </c:pt>
                <c:pt idx="1">
                  <c:v>LED</c:v>
                </c:pt>
              </c:strCache>
            </c:strRef>
          </c:cat>
          <c:val>
            <c:numRef>
              <c:f>'Total Cost of Ownership Summary'!$C$34:$D$34</c:f>
              <c:numCache>
                <c:formatCode>"$"#,##0</c:formatCode>
                <c:ptCount val="2"/>
                <c:pt idx="0">
                  <c:v>224639.99999999994</c:v>
                </c:pt>
                <c:pt idx="1">
                  <c:v>46169.999999999993</c:v>
                </c:pt>
              </c:numCache>
            </c:numRef>
          </c:val>
          <c:extLst>
            <c:ext xmlns:c16="http://schemas.microsoft.com/office/drawing/2014/chart" uri="{C3380CC4-5D6E-409C-BE32-E72D297353CC}">
              <c16:uniqueId val="{00000001-03EA-426C-A07F-82AA48B9E012}"/>
            </c:ext>
          </c:extLst>
        </c:ser>
        <c:ser>
          <c:idx val="2"/>
          <c:order val="2"/>
          <c:tx>
            <c:strRef>
              <c:f>'Total Cost of Ownership Summary'!$B$36</c:f>
              <c:strCache>
                <c:ptCount val="1"/>
                <c:pt idx="0">
                  <c:v>Total Maintenance Costs</c:v>
                </c:pt>
              </c:strCache>
            </c:strRef>
          </c:tx>
          <c:spPr>
            <a:effectLst>
              <a:outerShdw blurRad="76200" dir="13500000" sy="23000" kx="1200000" algn="br" rotWithShape="0">
                <a:prstClr val="black">
                  <a:alpha val="20000"/>
                </a:prstClr>
              </a:outerShdw>
            </a:effectLst>
            <a:scene3d>
              <a:camera prst="orthographicFront"/>
              <a:lightRig rig="threePt" dir="t">
                <a:rot lat="0" lon="0" rev="1200000"/>
              </a:lightRig>
            </a:scene3d>
            <a:sp3d>
              <a:bevelT w="63500" h="25400"/>
              <a:bevelB/>
            </a:sp3d>
          </c:spPr>
          <c:invertIfNegative val="0"/>
          <c:cat>
            <c:strRef>
              <c:f>'Total Cost of Ownership Summary'!$C$29:$D$29</c:f>
              <c:strCache>
                <c:ptCount val="2"/>
                <c:pt idx="0">
                  <c:v>175W MH</c:v>
                </c:pt>
                <c:pt idx="1">
                  <c:v>LED</c:v>
                </c:pt>
              </c:strCache>
            </c:strRef>
          </c:cat>
          <c:val>
            <c:numRef>
              <c:f>'Total Cost of Ownership Summary'!$C$36:$D$36</c:f>
              <c:numCache>
                <c:formatCode>"$"#,##0</c:formatCode>
                <c:ptCount val="2"/>
                <c:pt idx="0">
                  <c:v>272000</c:v>
                </c:pt>
                <c:pt idx="1">
                  <c:v>0</c:v>
                </c:pt>
              </c:numCache>
            </c:numRef>
          </c:val>
          <c:extLst>
            <c:ext xmlns:c16="http://schemas.microsoft.com/office/drawing/2014/chart" uri="{C3380CC4-5D6E-409C-BE32-E72D297353CC}">
              <c16:uniqueId val="{00000002-03EA-426C-A07F-82AA48B9E012}"/>
            </c:ext>
          </c:extLst>
        </c:ser>
        <c:ser>
          <c:idx val="3"/>
          <c:order val="3"/>
          <c:tx>
            <c:strRef>
              <c:f>'Total Cost of Ownership Summary'!$B$35</c:f>
              <c:strCache>
                <c:ptCount val="1"/>
                <c:pt idx="0">
                  <c:v>Incremental Air Cooling Energy Costs</c:v>
                </c:pt>
              </c:strCache>
            </c:strRef>
          </c:tx>
          <c:invertIfNegative val="0"/>
          <c:val>
            <c:numRef>
              <c:f>'Total Cost of Ownership Summary'!$C$35:$D$35</c:f>
              <c:numCache>
                <c:formatCode>"$"#,##0</c:formatCode>
                <c:ptCount val="2"/>
                <c:pt idx="0">
                  <c:v>54545.361931023297</c:v>
                </c:pt>
                <c:pt idx="1">
                  <c:v>0</c:v>
                </c:pt>
              </c:numCache>
            </c:numRef>
          </c:val>
          <c:extLst>
            <c:ext xmlns:c16="http://schemas.microsoft.com/office/drawing/2014/chart" uri="{C3380CC4-5D6E-409C-BE32-E72D297353CC}">
              <c16:uniqueId val="{00000003-03EA-426C-A07F-82AA48B9E012}"/>
            </c:ext>
          </c:extLst>
        </c:ser>
        <c:dLbls>
          <c:showLegendKey val="0"/>
          <c:showVal val="0"/>
          <c:showCatName val="0"/>
          <c:showSerName val="0"/>
          <c:showPercent val="0"/>
          <c:showBubbleSize val="0"/>
        </c:dLbls>
        <c:gapWidth val="75"/>
        <c:overlap val="100"/>
        <c:axId val="123982592"/>
        <c:axId val="123984128"/>
      </c:barChart>
      <c:catAx>
        <c:axId val="123982592"/>
        <c:scaling>
          <c:orientation val="minMax"/>
        </c:scaling>
        <c:delete val="0"/>
        <c:axPos val="b"/>
        <c:numFmt formatCode="General" sourceLinked="0"/>
        <c:majorTickMark val="out"/>
        <c:minorTickMark val="none"/>
        <c:tickLblPos val="nextTo"/>
        <c:txPr>
          <a:bodyPr/>
          <a:lstStyle/>
          <a:p>
            <a:pPr>
              <a:defRPr sz="1600" b="1"/>
            </a:pPr>
            <a:endParaRPr lang="en-US"/>
          </a:p>
        </c:txPr>
        <c:crossAx val="123984128"/>
        <c:crosses val="autoZero"/>
        <c:auto val="1"/>
        <c:lblAlgn val="ctr"/>
        <c:lblOffset val="100"/>
        <c:noMultiLvlLbl val="0"/>
      </c:catAx>
      <c:valAx>
        <c:axId val="123984128"/>
        <c:scaling>
          <c:orientation val="minMax"/>
        </c:scaling>
        <c:delete val="0"/>
        <c:axPos val="l"/>
        <c:majorGridlines/>
        <c:numFmt formatCode="&quot;$&quot;#,##0" sourceLinked="1"/>
        <c:majorTickMark val="out"/>
        <c:minorTickMark val="none"/>
        <c:tickLblPos val="nextTo"/>
        <c:crossAx val="123982592"/>
        <c:crosses val="autoZero"/>
        <c:crossBetween val="between"/>
      </c:valAx>
    </c:plotArea>
    <c:legend>
      <c:legendPos val="r"/>
      <c:layout>
        <c:manualLayout>
          <c:xMode val="edge"/>
          <c:yMode val="edge"/>
          <c:x val="0.78975135966869869"/>
          <c:y val="0.14316542006811964"/>
          <c:w val="0.20103669449270706"/>
          <c:h val="0.58905718248077665"/>
        </c:manualLayout>
      </c:layout>
      <c:overlay val="0"/>
      <c:txPr>
        <a:bodyPr/>
        <a:lstStyle/>
        <a:p>
          <a:pPr>
            <a:defRPr sz="1200"/>
          </a:pPr>
          <a:endParaRPr lang="en-US"/>
        </a:p>
      </c:txPr>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35718</xdr:colOff>
      <xdr:row>0</xdr:row>
      <xdr:rowOff>47626</xdr:rowOff>
    </xdr:from>
    <xdr:to>
      <xdr:col>1</xdr:col>
      <xdr:colOff>511655</xdr:colOff>
      <xdr:row>3</xdr:row>
      <xdr:rowOff>23453</xdr:rowOff>
    </xdr:to>
    <xdr:pic>
      <xdr:nvPicPr>
        <xdr:cNvPr id="8345" name="Picture 5">
          <a:extLst>
            <a:ext uri="{FF2B5EF4-FFF2-40B4-BE49-F238E27FC236}">
              <a16:creationId xmlns:a16="http://schemas.microsoft.com/office/drawing/2014/main" id="{00000000-0008-0000-0000-000099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2937" y="190501"/>
          <a:ext cx="475937" cy="404452"/>
        </a:xfrm>
        <a:prstGeom prst="rect">
          <a:avLst/>
        </a:prstGeom>
        <a:noFill/>
        <a:ln w="1">
          <a:noFill/>
          <a:miter lim="800000"/>
          <a:headEnd/>
          <a:tailEnd/>
        </a:ln>
      </xdr:spPr>
    </xdr:pic>
    <xdr:clientData/>
  </xdr:twoCellAnchor>
  <xdr:twoCellAnchor editAs="oneCell">
    <xdr:from>
      <xdr:col>1</xdr:col>
      <xdr:colOff>662314</xdr:colOff>
      <xdr:row>0</xdr:row>
      <xdr:rowOff>33130</xdr:rowOff>
    </xdr:from>
    <xdr:to>
      <xdr:col>2</xdr:col>
      <xdr:colOff>182218</xdr:colOff>
      <xdr:row>3</xdr:row>
      <xdr:rowOff>18128</xdr:rowOff>
    </xdr:to>
    <xdr:pic>
      <xdr:nvPicPr>
        <xdr:cNvPr id="6" name="4bee8842-4eb9-4aa7-a8a8-4c586783152f" descr="16F6D928-718F-45C6-A888-C4C6C2C91FE6@home">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165"/>
        <a:stretch/>
      </xdr:blipFill>
      <xdr:spPr bwMode="auto">
        <a:xfrm>
          <a:off x="786553" y="33130"/>
          <a:ext cx="464122" cy="407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152985</xdr:colOff>
      <xdr:row>0</xdr:row>
      <xdr:rowOff>24848</xdr:rowOff>
    </xdr:from>
    <xdr:to>
      <xdr:col>8</xdr:col>
      <xdr:colOff>1683802</xdr:colOff>
      <xdr:row>3</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47768" y="24848"/>
          <a:ext cx="1746164" cy="39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0</xdr:rowOff>
    </xdr:from>
    <xdr:to>
      <xdr:col>8</xdr:col>
      <xdr:colOff>590550</xdr:colOff>
      <xdr:row>55</xdr:row>
      <xdr:rowOff>0</xdr:rowOff>
    </xdr:to>
    <xdr:graphicFrame macro="">
      <xdr:nvGraphicFramePr>
        <xdr:cNvPr id="5633" name="Chart 5">
          <a:extLst>
            <a:ext uri="{FF2B5EF4-FFF2-40B4-BE49-F238E27FC236}">
              <a16:creationId xmlns:a16="http://schemas.microsoft.com/office/drawing/2014/main" id="{00000000-0008-0000-0100-0000011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8</xdr:col>
      <xdr:colOff>590550</xdr:colOff>
      <xdr:row>57</xdr:row>
      <xdr:rowOff>0</xdr:rowOff>
    </xdr:to>
    <xdr:graphicFrame macro="">
      <xdr:nvGraphicFramePr>
        <xdr:cNvPr id="5635" name="Chart 5">
          <a:extLst>
            <a:ext uri="{FF2B5EF4-FFF2-40B4-BE49-F238E27FC236}">
              <a16:creationId xmlns:a16="http://schemas.microsoft.com/office/drawing/2014/main" id="{00000000-0008-0000-0100-0000031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358588</xdr:colOff>
      <xdr:row>40</xdr:row>
      <xdr:rowOff>186263</xdr:rowOff>
    </xdr:from>
    <xdr:to>
      <xdr:col>8</xdr:col>
      <xdr:colOff>219881</xdr:colOff>
      <xdr:row>54</xdr:row>
      <xdr:rowOff>151417</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54348</xdr:colOff>
      <xdr:row>0</xdr:row>
      <xdr:rowOff>75080</xdr:rowOff>
    </xdr:from>
    <xdr:to>
      <xdr:col>0</xdr:col>
      <xdr:colOff>568698</xdr:colOff>
      <xdr:row>3</xdr:row>
      <xdr:rowOff>22973</xdr:rowOff>
    </xdr:to>
    <xdr:pic>
      <xdr:nvPicPr>
        <xdr:cNvPr id="5631" name="Picture 2">
          <a:extLst>
            <a:ext uri="{FF2B5EF4-FFF2-40B4-BE49-F238E27FC236}">
              <a16:creationId xmlns:a16="http://schemas.microsoft.com/office/drawing/2014/main" id="{00000000-0008-0000-0100-0000FF15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4348" y="75080"/>
          <a:ext cx="514350" cy="418540"/>
        </a:xfrm>
        <a:prstGeom prst="rect">
          <a:avLst/>
        </a:prstGeom>
        <a:noFill/>
        <a:ln w="1">
          <a:noFill/>
          <a:miter lim="800000"/>
          <a:headEnd/>
          <a:tailEnd/>
        </a:ln>
      </xdr:spPr>
    </xdr:pic>
    <xdr:clientData/>
  </xdr:twoCellAnchor>
  <xdr:twoCellAnchor editAs="oneCell">
    <xdr:from>
      <xdr:col>0</xdr:col>
      <xdr:colOff>550658</xdr:colOff>
      <xdr:row>0</xdr:row>
      <xdr:rowOff>74081</xdr:rowOff>
    </xdr:from>
    <xdr:to>
      <xdr:col>1</xdr:col>
      <xdr:colOff>1191302</xdr:colOff>
      <xdr:row>7</xdr:row>
      <xdr:rowOff>195</xdr:rowOff>
    </xdr:to>
    <xdr:pic>
      <xdr:nvPicPr>
        <xdr:cNvPr id="8" name="4bee8842-4eb9-4aa7-a8a8-4c586783152f" descr="16F6D928-718F-45C6-A888-C4C6C2C91FE6@home">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5757"/>
        <a:stretch/>
      </xdr:blipFill>
      <xdr:spPr bwMode="auto">
        <a:xfrm>
          <a:off x="550658" y="74081"/>
          <a:ext cx="1243894" cy="1397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31751</xdr:colOff>
      <xdr:row>0</xdr:row>
      <xdr:rowOff>52917</xdr:rowOff>
    </xdr:from>
    <xdr:to>
      <xdr:col>8</xdr:col>
      <xdr:colOff>211667</xdr:colOff>
      <xdr:row>2</xdr:row>
      <xdr:rowOff>149869</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59084" y="52917"/>
          <a:ext cx="1820333" cy="414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71"/>
  <sheetViews>
    <sheetView showGridLines="0" tabSelected="1" zoomScale="115" zoomScaleNormal="115" zoomScaleSheetLayoutView="100" workbookViewId="0">
      <selection activeCell="P5" sqref="P5"/>
    </sheetView>
  </sheetViews>
  <sheetFormatPr defaultColWidth="9.140625" defaultRowHeight="11.25" x14ac:dyDescent="0.2"/>
  <cols>
    <col min="1" max="1" width="1.85546875" style="88" customWidth="1"/>
    <col min="2" max="2" width="14.140625" style="116" customWidth="1"/>
    <col min="3" max="3" width="23.7109375" style="116" customWidth="1"/>
    <col min="4" max="4" width="15.7109375" style="116" customWidth="1"/>
    <col min="5" max="5" width="12.7109375" style="116" customWidth="1"/>
    <col min="6" max="6" width="6" style="116" customWidth="1"/>
    <col min="7" max="7" width="20.28515625" style="116" customWidth="1"/>
    <col min="8" max="8" width="3.28515625" style="116" customWidth="1"/>
    <col min="9" max="9" width="26" style="88" customWidth="1"/>
    <col min="10" max="10" width="23.140625" style="87" hidden="1" customWidth="1"/>
    <col min="11" max="11" width="13.140625" style="87" hidden="1" customWidth="1"/>
    <col min="12" max="12" width="16.140625" style="88" hidden="1" customWidth="1"/>
    <col min="13" max="13" width="9.140625" style="87" hidden="1" customWidth="1"/>
    <col min="14" max="14" width="19.28515625" style="87" hidden="1" customWidth="1"/>
    <col min="15" max="15" width="15.5703125" style="87" customWidth="1"/>
    <col min="16" max="16384" width="9.140625" style="88"/>
  </cols>
  <sheetData>
    <row r="1" spans="2:14" x14ac:dyDescent="0.2">
      <c r="B1" s="146"/>
      <c r="C1" s="147"/>
      <c r="D1" s="147"/>
      <c r="E1" s="147"/>
      <c r="F1" s="147"/>
      <c r="G1" s="147"/>
      <c r="H1" s="147"/>
      <c r="I1" s="148"/>
      <c r="J1" s="86"/>
      <c r="K1" s="86"/>
      <c r="L1" s="84"/>
      <c r="M1" s="86"/>
    </row>
    <row r="2" spans="2:14" x14ac:dyDescent="0.2">
      <c r="B2" s="131"/>
      <c r="C2" s="132"/>
      <c r="D2" s="132"/>
      <c r="E2" s="132"/>
      <c r="F2" s="132"/>
      <c r="G2" s="132"/>
      <c r="H2" s="132"/>
      <c r="I2" s="133"/>
      <c r="J2" s="89"/>
      <c r="K2" s="89"/>
      <c r="L2" s="89"/>
      <c r="M2" s="89"/>
      <c r="N2" s="90"/>
    </row>
    <row r="3" spans="2:14" x14ac:dyDescent="0.2">
      <c r="B3" s="217"/>
      <c r="C3" s="218"/>
      <c r="D3" s="218"/>
      <c r="E3" s="218"/>
      <c r="F3" s="218"/>
      <c r="G3" s="218"/>
      <c r="H3" s="218"/>
      <c r="I3" s="219"/>
      <c r="J3" s="89"/>
      <c r="K3" s="89"/>
      <c r="L3" s="89"/>
      <c r="M3" s="89"/>
      <c r="N3" s="90"/>
    </row>
    <row r="4" spans="2:14" x14ac:dyDescent="0.2">
      <c r="B4" s="227" t="s">
        <v>146</v>
      </c>
      <c r="C4" s="228"/>
      <c r="D4" s="228"/>
      <c r="E4" s="228"/>
      <c r="F4" s="228"/>
      <c r="G4" s="228"/>
      <c r="H4" s="228"/>
      <c r="I4" s="229"/>
      <c r="J4" s="86"/>
      <c r="K4" s="86"/>
      <c r="L4" s="84"/>
      <c r="M4" s="86"/>
    </row>
    <row r="5" spans="2:14" x14ac:dyDescent="0.2">
      <c r="B5" s="225" t="s">
        <v>40</v>
      </c>
      <c r="C5" s="226"/>
      <c r="D5" s="226"/>
      <c r="E5" s="226"/>
      <c r="F5" s="226"/>
      <c r="G5" s="226"/>
      <c r="H5" s="203"/>
      <c r="I5" s="134" t="s">
        <v>23</v>
      </c>
      <c r="J5" s="86"/>
      <c r="K5" s="86" t="s">
        <v>13</v>
      </c>
      <c r="L5" s="84" t="s">
        <v>22</v>
      </c>
      <c r="M5" s="86"/>
    </row>
    <row r="6" spans="2:14" x14ac:dyDescent="0.2">
      <c r="B6" s="135">
        <v>1</v>
      </c>
      <c r="C6" s="211" t="s">
        <v>33</v>
      </c>
      <c r="D6" s="211"/>
      <c r="E6" s="211"/>
      <c r="F6" s="211"/>
      <c r="G6" s="211"/>
      <c r="H6" s="211"/>
      <c r="I6" s="136" t="s">
        <v>85</v>
      </c>
      <c r="J6" s="86"/>
      <c r="K6" s="86"/>
      <c r="L6" s="84"/>
      <c r="M6" s="86"/>
    </row>
    <row r="7" spans="2:14" s="96" customFormat="1" x14ac:dyDescent="0.2">
      <c r="B7" s="135">
        <v>2</v>
      </c>
      <c r="C7" s="211" t="s">
        <v>83</v>
      </c>
      <c r="D7" s="211"/>
      <c r="E7" s="211"/>
      <c r="F7" s="211"/>
      <c r="G7" s="211"/>
      <c r="H7" s="211"/>
      <c r="I7" s="136" t="s">
        <v>75</v>
      </c>
      <c r="J7" s="92" t="str">
        <f>VLOOKUP(I7,C36:E60,1,FALSE)</f>
        <v>175W MH</v>
      </c>
      <c r="K7" s="93">
        <f>VLOOKUP(I7,C36:E60,2,FALSE)</f>
        <v>208</v>
      </c>
      <c r="L7" s="94">
        <f>VLOOKUP(I7,C36:E60,3,FALSE)</f>
        <v>15000</v>
      </c>
      <c r="M7" s="91"/>
      <c r="N7" s="95" t="str">
        <f>J7</f>
        <v>175W MH</v>
      </c>
    </row>
    <row r="8" spans="2:14" s="96" customFormat="1" x14ac:dyDescent="0.2">
      <c r="B8" s="135">
        <v>3</v>
      </c>
      <c r="C8" s="211" t="s">
        <v>158</v>
      </c>
      <c r="D8" s="211"/>
      <c r="E8" s="211"/>
      <c r="F8" s="211"/>
      <c r="G8" s="211"/>
      <c r="H8" s="211"/>
      <c r="I8" s="136">
        <v>75</v>
      </c>
      <c r="J8" s="93"/>
      <c r="K8" s="93"/>
      <c r="L8" s="93"/>
      <c r="M8" s="91"/>
    </row>
    <row r="9" spans="2:14" s="96" customFormat="1" x14ac:dyDescent="0.2">
      <c r="B9" s="135">
        <v>4</v>
      </c>
      <c r="C9" s="211" t="s">
        <v>159</v>
      </c>
      <c r="D9" s="211"/>
      <c r="E9" s="211"/>
      <c r="F9" s="211"/>
      <c r="G9" s="211"/>
      <c r="H9" s="211"/>
      <c r="I9" s="136">
        <v>100</v>
      </c>
      <c r="J9" s="93"/>
      <c r="K9" s="93"/>
      <c r="L9" s="93"/>
      <c r="M9" s="91"/>
    </row>
    <row r="10" spans="2:14" s="96" customFormat="1" x14ac:dyDescent="0.2">
      <c r="B10" s="135">
        <v>5</v>
      </c>
      <c r="C10" s="211" t="s">
        <v>54</v>
      </c>
      <c r="D10" s="211"/>
      <c r="E10" s="211"/>
      <c r="F10" s="211"/>
      <c r="G10" s="211"/>
      <c r="H10" s="211"/>
      <c r="I10" s="137">
        <v>300</v>
      </c>
      <c r="J10" s="93"/>
      <c r="K10" s="93"/>
      <c r="L10" s="93"/>
      <c r="M10" s="91"/>
    </row>
    <row r="11" spans="2:14" s="96" customFormat="1" x14ac:dyDescent="0.2">
      <c r="B11" s="135">
        <v>6</v>
      </c>
      <c r="C11" s="211" t="s">
        <v>30</v>
      </c>
      <c r="D11" s="211"/>
      <c r="E11" s="211"/>
      <c r="F11" s="211"/>
      <c r="G11" s="211"/>
      <c r="H11" s="211"/>
      <c r="I11" s="138">
        <v>25</v>
      </c>
      <c r="J11" s="93"/>
      <c r="K11" s="93"/>
      <c r="L11" s="93"/>
      <c r="M11" s="91"/>
    </row>
    <row r="12" spans="2:14" s="96" customFormat="1" x14ac:dyDescent="0.2">
      <c r="B12" s="135">
        <v>7</v>
      </c>
      <c r="C12" s="211" t="s">
        <v>31</v>
      </c>
      <c r="D12" s="211"/>
      <c r="E12" s="211"/>
      <c r="F12" s="211"/>
      <c r="G12" s="211"/>
      <c r="H12" s="211"/>
      <c r="I12" s="138">
        <v>2</v>
      </c>
      <c r="J12" s="93"/>
      <c r="K12" s="93"/>
      <c r="L12" s="93"/>
      <c r="M12" s="91"/>
    </row>
    <row r="13" spans="2:14" s="96" customFormat="1" x14ac:dyDescent="0.2">
      <c r="B13" s="135">
        <v>8</v>
      </c>
      <c r="C13" s="211" t="s">
        <v>37</v>
      </c>
      <c r="D13" s="211"/>
      <c r="E13" s="211"/>
      <c r="F13" s="211"/>
      <c r="G13" s="211"/>
      <c r="H13" s="211"/>
      <c r="I13" s="139">
        <v>1</v>
      </c>
      <c r="J13" s="91"/>
      <c r="K13" s="93"/>
      <c r="L13" s="93"/>
      <c r="M13" s="91"/>
      <c r="N13" s="97"/>
    </row>
    <row r="14" spans="2:14" s="96" customFormat="1" x14ac:dyDescent="0.2">
      <c r="B14" s="135">
        <v>9</v>
      </c>
      <c r="C14" s="211" t="s">
        <v>38</v>
      </c>
      <c r="D14" s="211"/>
      <c r="E14" s="211"/>
      <c r="F14" s="211"/>
      <c r="G14" s="211"/>
      <c r="H14" s="211"/>
      <c r="I14" s="136">
        <v>2</v>
      </c>
      <c r="J14" s="91"/>
      <c r="K14" s="93"/>
      <c r="L14" s="93"/>
      <c r="M14" s="91"/>
      <c r="N14" s="97"/>
    </row>
    <row r="15" spans="2:14" s="96" customFormat="1" x14ac:dyDescent="0.2">
      <c r="B15" s="135">
        <v>10</v>
      </c>
      <c r="C15" s="211" t="s">
        <v>20</v>
      </c>
      <c r="D15" s="211"/>
      <c r="E15" s="211"/>
      <c r="F15" s="211"/>
      <c r="G15" s="211"/>
      <c r="H15" s="211"/>
      <c r="I15" s="138">
        <v>80</v>
      </c>
      <c r="J15" s="91"/>
      <c r="K15" s="93"/>
      <c r="L15" s="93"/>
      <c r="M15" s="91"/>
    </row>
    <row r="16" spans="2:14" s="96" customFormat="1" x14ac:dyDescent="0.2">
      <c r="B16" s="135">
        <v>11</v>
      </c>
      <c r="C16" s="211" t="s">
        <v>21</v>
      </c>
      <c r="D16" s="211"/>
      <c r="E16" s="211"/>
      <c r="F16" s="211"/>
      <c r="G16" s="211"/>
      <c r="H16" s="211"/>
      <c r="I16" s="138">
        <v>0.09</v>
      </c>
      <c r="J16" s="93"/>
      <c r="K16" s="93"/>
      <c r="L16" s="93"/>
      <c r="M16" s="91"/>
    </row>
    <row r="17" spans="2:14" s="96" customFormat="1" x14ac:dyDescent="0.2">
      <c r="B17" s="135">
        <v>12</v>
      </c>
      <c r="C17" s="211" t="s">
        <v>26</v>
      </c>
      <c r="D17" s="211"/>
      <c r="E17" s="211"/>
      <c r="F17" s="211"/>
      <c r="G17" s="211"/>
      <c r="H17" s="211"/>
      <c r="I17" s="136">
        <v>24</v>
      </c>
      <c r="J17" s="98"/>
      <c r="K17" s="93">
        <f>I17*52*7</f>
        <v>8736</v>
      </c>
      <c r="L17" s="99" t="s">
        <v>24</v>
      </c>
      <c r="M17" s="91"/>
    </row>
    <row r="18" spans="2:14" s="96" customFormat="1" x14ac:dyDescent="0.2">
      <c r="B18" s="135">
        <v>13</v>
      </c>
      <c r="C18" s="180" t="s">
        <v>114</v>
      </c>
      <c r="D18" s="181"/>
      <c r="E18" s="181"/>
      <c r="F18" s="181"/>
      <c r="G18" s="181"/>
      <c r="H18" s="182"/>
      <c r="I18" s="136" t="s">
        <v>115</v>
      </c>
      <c r="J18" s="98" t="s">
        <v>115</v>
      </c>
      <c r="K18" s="93">
        <f>K17*(1-I29)</f>
        <v>4368</v>
      </c>
      <c r="L18" s="99" t="s">
        <v>150</v>
      </c>
      <c r="M18" s="91"/>
    </row>
    <row r="19" spans="2:14" s="96" customFormat="1" x14ac:dyDescent="0.2">
      <c r="B19" s="135">
        <v>14</v>
      </c>
      <c r="C19" s="183" t="s">
        <v>109</v>
      </c>
      <c r="D19" s="184"/>
      <c r="E19" s="184"/>
      <c r="F19" s="184"/>
      <c r="G19" s="184"/>
      <c r="H19" s="185"/>
      <c r="I19" s="186">
        <v>30</v>
      </c>
      <c r="J19" s="98" t="s">
        <v>116</v>
      </c>
      <c r="K19" s="93"/>
      <c r="L19" s="99"/>
      <c r="M19" s="91"/>
    </row>
    <row r="20" spans="2:14" s="96" customFormat="1" x14ac:dyDescent="0.2">
      <c r="B20" s="135">
        <v>15</v>
      </c>
      <c r="C20" s="183" t="s">
        <v>110</v>
      </c>
      <c r="D20" s="184"/>
      <c r="E20" s="184"/>
      <c r="F20" s="184"/>
      <c r="G20" s="184"/>
      <c r="H20" s="185"/>
      <c r="I20" s="208">
        <v>0.9</v>
      </c>
      <c r="J20" s="98"/>
      <c r="K20" s="93"/>
      <c r="L20" s="99"/>
      <c r="M20" s="91"/>
    </row>
    <row r="21" spans="2:14" s="96" customFormat="1" x14ac:dyDescent="0.2">
      <c r="B21" s="135">
        <v>16</v>
      </c>
      <c r="C21" s="220" t="s">
        <v>117</v>
      </c>
      <c r="D21" s="221"/>
      <c r="E21" s="221"/>
      <c r="F21" s="221"/>
      <c r="G21" s="221"/>
      <c r="H21" s="222"/>
      <c r="I21" s="186">
        <v>50</v>
      </c>
      <c r="J21" s="170">
        <f>(I21-32)*5/9</f>
        <v>10</v>
      </c>
      <c r="K21" s="93"/>
      <c r="L21" s="99"/>
      <c r="M21" s="91"/>
    </row>
    <row r="22" spans="2:14" s="96" customFormat="1" x14ac:dyDescent="0.2">
      <c r="B22" s="135">
        <v>17</v>
      </c>
      <c r="C22" s="220" t="s">
        <v>111</v>
      </c>
      <c r="D22" s="221"/>
      <c r="E22" s="221"/>
      <c r="F22" s="221"/>
      <c r="G22" s="221"/>
      <c r="H22" s="222"/>
      <c r="I22" s="186">
        <v>80</v>
      </c>
      <c r="J22" s="170">
        <f>(I22-32)*5/9</f>
        <v>26.666666666666668</v>
      </c>
      <c r="K22" s="93"/>
      <c r="L22" s="99"/>
      <c r="M22" s="91"/>
    </row>
    <row r="23" spans="2:14" s="96" customFormat="1" x14ac:dyDescent="0.2">
      <c r="B23" s="135">
        <v>18</v>
      </c>
      <c r="C23" s="183" t="s">
        <v>112</v>
      </c>
      <c r="D23" s="184"/>
      <c r="E23" s="184"/>
      <c r="F23" s="184"/>
      <c r="G23" s="184"/>
      <c r="H23" s="185"/>
      <c r="I23" s="187">
        <f>J23</f>
        <v>1.6988999999999981</v>
      </c>
      <c r="J23" s="171">
        <f>(J21+273.15)/((J22+273.15)-(J21+273.15))*0.1</f>
        <v>1.6988999999999981</v>
      </c>
      <c r="K23" s="93"/>
      <c r="L23" s="99"/>
      <c r="M23" s="91"/>
    </row>
    <row r="24" spans="2:14" s="96" customFormat="1" x14ac:dyDescent="0.2">
      <c r="B24" s="135">
        <v>19</v>
      </c>
      <c r="C24" s="211" t="s">
        <v>160</v>
      </c>
      <c r="D24" s="211"/>
      <c r="E24" s="211"/>
      <c r="F24" s="211"/>
      <c r="G24" s="211"/>
      <c r="H24" s="211"/>
      <c r="I24" s="188">
        <v>131</v>
      </c>
      <c r="J24" s="172"/>
      <c r="K24" s="93"/>
      <c r="L24" s="99"/>
      <c r="M24" s="91"/>
    </row>
    <row r="25" spans="2:14" s="96" customFormat="1" x14ac:dyDescent="0.2">
      <c r="B25" s="135">
        <v>20</v>
      </c>
      <c r="C25" s="211" t="s">
        <v>84</v>
      </c>
      <c r="D25" s="211"/>
      <c r="E25" s="211"/>
      <c r="F25" s="211"/>
      <c r="G25" s="211"/>
      <c r="H25" s="211"/>
      <c r="I25" s="136" t="s">
        <v>164</v>
      </c>
      <c r="J25" s="126" t="str">
        <f>VLOOKUP(I25,I36:K43,1,FALSE)</f>
        <v>PVM 9L - 114W</v>
      </c>
      <c r="K25" s="93">
        <f>VLOOKUP(I25,I36:K43,2, FALSE)</f>
        <v>114</v>
      </c>
      <c r="L25" s="100">
        <f>VLOOKUP(I25,I36:K43,3,FALSE)</f>
        <v>60000</v>
      </c>
      <c r="M25" s="91"/>
      <c r="N25" s="101" t="str">
        <f>J25</f>
        <v>PVM 9L - 114W</v>
      </c>
    </row>
    <row r="26" spans="2:14" s="96" customFormat="1" x14ac:dyDescent="0.2">
      <c r="B26" s="135">
        <v>21</v>
      </c>
      <c r="C26" s="211" t="s">
        <v>14</v>
      </c>
      <c r="D26" s="211"/>
      <c r="E26" s="211"/>
      <c r="F26" s="211"/>
      <c r="G26" s="211"/>
      <c r="H26" s="211"/>
      <c r="I26" s="137">
        <v>750</v>
      </c>
      <c r="J26" s="102"/>
      <c r="K26" s="93"/>
      <c r="L26" s="99"/>
      <c r="M26" s="91"/>
    </row>
    <row r="27" spans="2:14" s="96" customFormat="1" x14ac:dyDescent="0.2">
      <c r="B27" s="135">
        <v>22</v>
      </c>
      <c r="C27" s="212" t="s">
        <v>120</v>
      </c>
      <c r="D27" s="213"/>
      <c r="E27" s="213"/>
      <c r="F27" s="213"/>
      <c r="G27" s="213"/>
      <c r="H27" s="214"/>
      <c r="I27" s="138">
        <v>0</v>
      </c>
      <c r="J27" s="102"/>
      <c r="K27" s="93"/>
      <c r="L27" s="99"/>
      <c r="M27" s="91"/>
    </row>
    <row r="28" spans="2:14" s="96" customFormat="1" x14ac:dyDescent="0.2">
      <c r="B28" s="135">
        <v>23</v>
      </c>
      <c r="C28" s="190" t="s">
        <v>147</v>
      </c>
      <c r="D28" s="191"/>
      <c r="E28" s="191"/>
      <c r="F28" s="191"/>
      <c r="G28" s="191"/>
      <c r="H28" s="192"/>
      <c r="I28" s="138" t="s">
        <v>115</v>
      </c>
      <c r="J28" s="102"/>
      <c r="K28" s="93"/>
      <c r="L28" s="99"/>
      <c r="M28" s="91"/>
    </row>
    <row r="29" spans="2:14" s="96" customFormat="1" x14ac:dyDescent="0.2">
      <c r="B29" s="135">
        <v>24</v>
      </c>
      <c r="C29" s="190" t="s">
        <v>148</v>
      </c>
      <c r="D29" s="191"/>
      <c r="E29" s="191"/>
      <c r="F29" s="191"/>
      <c r="G29" s="191"/>
      <c r="H29" s="192"/>
      <c r="I29" s="189">
        <v>0.5</v>
      </c>
      <c r="J29" s="102"/>
      <c r="K29" s="93"/>
      <c r="L29" s="99"/>
      <c r="M29" s="91"/>
    </row>
    <row r="30" spans="2:14" s="96" customFormat="1" x14ac:dyDescent="0.2">
      <c r="B30" s="135">
        <v>25</v>
      </c>
      <c r="C30" s="190" t="s">
        <v>149</v>
      </c>
      <c r="D30" s="191"/>
      <c r="E30" s="191"/>
      <c r="F30" s="191"/>
      <c r="G30" s="191"/>
      <c r="H30" s="192"/>
      <c r="I30" s="138">
        <v>100</v>
      </c>
      <c r="J30" s="102"/>
      <c r="K30" s="93"/>
      <c r="L30" s="99"/>
      <c r="M30" s="91"/>
    </row>
    <row r="31" spans="2:14" s="96" customFormat="1" x14ac:dyDescent="0.2">
      <c r="B31" s="135">
        <v>26</v>
      </c>
      <c r="C31" s="200" t="s">
        <v>119</v>
      </c>
      <c r="D31" s="201"/>
      <c r="E31" s="201"/>
      <c r="F31" s="201"/>
      <c r="G31" s="201"/>
      <c r="H31" s="202"/>
      <c r="I31" s="138">
        <v>0</v>
      </c>
      <c r="J31" s="102"/>
      <c r="K31" s="93"/>
      <c r="L31" s="99"/>
      <c r="M31" s="91"/>
    </row>
    <row r="32" spans="2:14" s="96" customFormat="1" x14ac:dyDescent="0.2">
      <c r="B32" s="135">
        <v>27</v>
      </c>
      <c r="C32" s="200" t="s">
        <v>118</v>
      </c>
      <c r="D32" s="201"/>
      <c r="E32" s="201"/>
      <c r="F32" s="201"/>
      <c r="G32" s="201"/>
      <c r="H32" s="202"/>
      <c r="I32" s="138">
        <v>7500</v>
      </c>
      <c r="J32" s="102"/>
      <c r="K32" s="93"/>
      <c r="L32" s="99"/>
      <c r="M32" s="91"/>
    </row>
    <row r="33" spans="2:15" s="96" customFormat="1" ht="12" customHeight="1" x14ac:dyDescent="0.2">
      <c r="B33" s="135">
        <v>28</v>
      </c>
      <c r="C33" s="230" t="s">
        <v>121</v>
      </c>
      <c r="D33" s="230"/>
      <c r="E33" s="230"/>
      <c r="F33" s="230"/>
      <c r="G33" s="230"/>
      <c r="H33" s="230"/>
      <c r="I33" s="138">
        <v>7000</v>
      </c>
      <c r="J33" s="103"/>
      <c r="K33" s="93"/>
      <c r="L33" s="94"/>
      <c r="M33" s="91"/>
    </row>
    <row r="34" spans="2:15" hidden="1" x14ac:dyDescent="0.2">
      <c r="B34" s="223" t="s">
        <v>19</v>
      </c>
      <c r="C34" s="224"/>
      <c r="D34" s="104"/>
      <c r="E34" s="105"/>
      <c r="F34" s="106"/>
      <c r="G34" s="205"/>
      <c r="H34" s="231" t="s">
        <v>59</v>
      </c>
      <c r="I34" s="232"/>
      <c r="J34" s="107"/>
      <c r="K34" s="206"/>
      <c r="L34" s="84"/>
      <c r="M34" s="86"/>
      <c r="N34" s="88"/>
      <c r="O34" s="88"/>
    </row>
    <row r="35" spans="2:15" hidden="1" x14ac:dyDescent="0.2">
      <c r="B35" s="140"/>
      <c r="C35" s="108" t="s">
        <v>18</v>
      </c>
      <c r="D35" s="109" t="s">
        <v>13</v>
      </c>
      <c r="E35" s="110" t="s">
        <v>22</v>
      </c>
      <c r="F35" s="106"/>
      <c r="G35" s="205"/>
      <c r="H35" s="206"/>
      <c r="I35" s="207" t="s">
        <v>18</v>
      </c>
      <c r="J35" s="107" t="s">
        <v>13</v>
      </c>
      <c r="K35" s="161" t="s">
        <v>22</v>
      </c>
      <c r="L35" s="84"/>
      <c r="M35" s="86"/>
      <c r="N35" s="88"/>
      <c r="O35" s="88"/>
    </row>
    <row r="36" spans="2:15" hidden="1" x14ac:dyDescent="0.2">
      <c r="B36" s="165" t="s">
        <v>15</v>
      </c>
      <c r="C36" s="155" t="s">
        <v>62</v>
      </c>
      <c r="D36" s="111">
        <v>130</v>
      </c>
      <c r="E36" s="112">
        <v>24000</v>
      </c>
      <c r="F36" s="106"/>
      <c r="G36" s="205"/>
      <c r="H36" s="162" t="s">
        <v>15</v>
      </c>
      <c r="I36" s="166" t="s">
        <v>161</v>
      </c>
      <c r="J36" s="164">
        <v>41</v>
      </c>
      <c r="K36" s="163">
        <f>IF($I$24&gt;=130,60000,IF($I$24&gt;=113,AVERAGE($O$50:$O$51),IF($I$24&gt;=104,AVERAGE($O$49:$O$50),IF($I$24&gt;=95,AVERAGE($O$48:$O$49),IF($I$24&gt;=86,AVERAGE($O$47:$O$48),IF($I$24&gt;=77,AVERAGE($O$46:$O$47),IF($I$24&lt;77,$O$46,0)))))))</f>
        <v>60000</v>
      </c>
      <c r="L36" s="91"/>
      <c r="M36" s="86"/>
      <c r="N36" s="88"/>
      <c r="O36" s="88"/>
    </row>
    <row r="37" spans="2:15" hidden="1" x14ac:dyDescent="0.2">
      <c r="B37" s="167" t="s">
        <v>16</v>
      </c>
      <c r="C37" s="156" t="s">
        <v>63</v>
      </c>
      <c r="D37" s="113">
        <v>188</v>
      </c>
      <c r="E37" s="114">
        <v>24000</v>
      </c>
      <c r="F37" s="115"/>
      <c r="G37" s="205"/>
      <c r="H37" s="162" t="s">
        <v>16</v>
      </c>
      <c r="I37" s="166" t="s">
        <v>162</v>
      </c>
      <c r="J37" s="164">
        <v>67</v>
      </c>
      <c r="K37" s="163">
        <f>IF($I$24&gt;=130,60000,IF($I$24&gt;=113,AVERAGE($O$50:$O$51),IF($I$24&gt;=104,AVERAGE($O$49:$O$50),IF($I$24&gt;=95,AVERAGE($O$48:$O$49),IF($I$24&gt;=86,AVERAGE($O$47:$O$48),IF($I$24&gt;=77,AVERAGE($O$46:$O$47),IF($I$24&lt;77,$O$46,0)))))))</f>
        <v>60000</v>
      </c>
      <c r="L37" s="91"/>
      <c r="M37" s="86"/>
      <c r="N37" s="88"/>
      <c r="O37" s="88"/>
    </row>
    <row r="38" spans="2:15" hidden="1" x14ac:dyDescent="0.2">
      <c r="B38" s="167" t="s">
        <v>17</v>
      </c>
      <c r="C38" s="156" t="s">
        <v>80</v>
      </c>
      <c r="D38" s="113">
        <v>240</v>
      </c>
      <c r="E38" s="114">
        <v>24000</v>
      </c>
      <c r="F38" s="115"/>
      <c r="G38" s="205"/>
      <c r="H38" s="162" t="s">
        <v>17</v>
      </c>
      <c r="I38" s="166" t="s">
        <v>163</v>
      </c>
      <c r="J38" s="164">
        <v>94</v>
      </c>
      <c r="K38" s="163">
        <f>IF($I$24&gt;=130,60000,IF($I$24&gt;=113,AVERAGE($O$50:$O$51),IF($I$24&gt;=104,AVERAGE($O$49:$O$50),IF($I$24&gt;=95,AVERAGE($O$48:$O$49),IF($I$24&gt;=86,AVERAGE($O$47:$O$48),IF($I$24&gt;=77,AVERAGE($O$46:$O$47),IF($I$24&lt;77,$O$46,0)))))))</f>
        <v>60000</v>
      </c>
      <c r="L38" s="91"/>
      <c r="M38" s="86"/>
      <c r="N38" s="88"/>
      <c r="O38" s="88"/>
    </row>
    <row r="39" spans="2:15" hidden="1" x14ac:dyDescent="0.2">
      <c r="B39" s="167" t="s">
        <v>60</v>
      </c>
      <c r="C39" s="156" t="s">
        <v>81</v>
      </c>
      <c r="D39" s="113">
        <v>295</v>
      </c>
      <c r="E39" s="114">
        <v>24000</v>
      </c>
      <c r="F39" s="205"/>
      <c r="G39" s="205"/>
      <c r="H39" s="162" t="s">
        <v>60</v>
      </c>
      <c r="I39" s="166" t="s">
        <v>164</v>
      </c>
      <c r="J39" s="164">
        <v>114</v>
      </c>
      <c r="K39" s="163">
        <f>IF($I$24&gt;=130,60000,IF($I$24&gt;=113,AVERAGE($O$50:$O$51),IF($I$24&gt;=104,AVERAGE($O$49:$O$50),IF($I$24&gt;=95,AVERAGE($O$48:$O$49),IF($I$24&gt;=86,AVERAGE($O$47:$O$48),IF($I$24&gt;=77,AVERAGE($O$46:$O$47),IF($I$24&lt;77,$O$46,0)))))))</f>
        <v>60000</v>
      </c>
      <c r="L39" s="84"/>
      <c r="M39" s="86"/>
      <c r="N39" s="88"/>
      <c r="O39" s="88"/>
    </row>
    <row r="40" spans="2:15" hidden="1" x14ac:dyDescent="0.2">
      <c r="B40" s="167" t="s">
        <v>61</v>
      </c>
      <c r="C40" s="156" t="s">
        <v>64</v>
      </c>
      <c r="D40" s="113">
        <v>125</v>
      </c>
      <c r="E40" s="114">
        <v>24000</v>
      </c>
      <c r="F40" s="205"/>
      <c r="G40" s="205"/>
      <c r="H40" s="162" t="s">
        <v>61</v>
      </c>
      <c r="I40" s="166" t="s">
        <v>165</v>
      </c>
      <c r="J40" s="164">
        <v>118</v>
      </c>
      <c r="K40" s="163">
        <f>IF($I$24&gt;=130,60000,IF($I$24&gt;=113,AVERAGE($O$50:$O$51),IF($I$24&gt;=104,AVERAGE($O$49:$O$50),IF($I$24&gt;=95,AVERAGE($O$48:$O$49),IF($I$24&gt;=86,AVERAGE($O$47:$O$48),IF($I$24&gt;=77,AVERAGE($O$46:$O$47),IF($I$24&lt;77,$O$46,0)))))))</f>
        <v>60000</v>
      </c>
      <c r="L40" s="84"/>
      <c r="M40" s="86"/>
      <c r="N40" s="88"/>
      <c r="O40" s="88"/>
    </row>
    <row r="41" spans="2:15" hidden="1" x14ac:dyDescent="0.2">
      <c r="B41" s="167" t="s">
        <v>66</v>
      </c>
      <c r="C41" s="156" t="s">
        <v>65</v>
      </c>
      <c r="D41" s="113">
        <v>205</v>
      </c>
      <c r="E41" s="114">
        <v>24000</v>
      </c>
      <c r="F41" s="205"/>
      <c r="G41" s="205"/>
      <c r="H41" s="194"/>
      <c r="I41" s="197"/>
      <c r="J41" s="195"/>
      <c r="K41" s="195"/>
      <c r="L41" s="84"/>
      <c r="M41" s="86"/>
      <c r="N41" s="88"/>
      <c r="O41" s="88"/>
    </row>
    <row r="42" spans="2:15" hidden="1" x14ac:dyDescent="0.2">
      <c r="B42" s="167" t="s">
        <v>68</v>
      </c>
      <c r="C42" s="156" t="s">
        <v>67</v>
      </c>
      <c r="D42" s="113">
        <v>285</v>
      </c>
      <c r="E42" s="114">
        <v>24000</v>
      </c>
      <c r="F42" s="205"/>
      <c r="G42" s="205"/>
      <c r="H42" s="194"/>
      <c r="I42" s="197"/>
      <c r="J42" s="196"/>
      <c r="K42" s="195"/>
      <c r="L42" s="84"/>
      <c r="M42" s="86"/>
      <c r="N42" s="88"/>
      <c r="O42" s="88"/>
    </row>
    <row r="43" spans="2:15" hidden="1" x14ac:dyDescent="0.2">
      <c r="B43" s="167" t="s">
        <v>70</v>
      </c>
      <c r="C43" s="156" t="s">
        <v>89</v>
      </c>
      <c r="D43" s="113">
        <v>372</v>
      </c>
      <c r="E43" s="114">
        <v>30000</v>
      </c>
      <c r="F43" s="205"/>
      <c r="G43" s="205"/>
      <c r="H43" s="194"/>
      <c r="I43" s="197"/>
      <c r="J43" s="196"/>
      <c r="K43" s="195"/>
      <c r="L43" s="84"/>
      <c r="M43" s="86"/>
      <c r="N43" s="88"/>
      <c r="O43" s="88"/>
    </row>
    <row r="44" spans="2:15" ht="12.75" hidden="1" customHeight="1" x14ac:dyDescent="0.2">
      <c r="B44" s="167" t="s">
        <v>88</v>
      </c>
      <c r="C44" s="156" t="s">
        <v>69</v>
      </c>
      <c r="D44" s="113">
        <v>90</v>
      </c>
      <c r="E44" s="114">
        <v>15000</v>
      </c>
      <c r="F44" s="205"/>
      <c r="G44" s="205"/>
      <c r="H44" s="205"/>
      <c r="I44" s="130"/>
      <c r="J44" s="215" t="s">
        <v>122</v>
      </c>
      <c r="K44" s="216"/>
      <c r="L44" s="216"/>
      <c r="M44" s="216"/>
      <c r="N44" s="216"/>
      <c r="O44" s="173"/>
    </row>
    <row r="45" spans="2:15" ht="12.75" hidden="1" customHeight="1" x14ac:dyDescent="0.2">
      <c r="B45" s="167" t="s">
        <v>72</v>
      </c>
      <c r="C45" s="156" t="s">
        <v>71</v>
      </c>
      <c r="D45" s="113">
        <v>125</v>
      </c>
      <c r="E45" s="114">
        <v>15000</v>
      </c>
      <c r="F45" s="205"/>
      <c r="G45" s="205"/>
      <c r="H45" s="205"/>
      <c r="I45" s="130"/>
      <c r="J45" s="177" t="s">
        <v>123</v>
      </c>
      <c r="K45" s="174" t="s">
        <v>124</v>
      </c>
      <c r="L45" s="174" t="s">
        <v>125</v>
      </c>
      <c r="M45" s="174" t="s">
        <v>126</v>
      </c>
      <c r="N45" s="174" t="s">
        <v>127</v>
      </c>
      <c r="O45" s="174" t="s">
        <v>128</v>
      </c>
    </row>
    <row r="46" spans="2:15" ht="12.75" hidden="1" x14ac:dyDescent="0.2">
      <c r="B46" s="167" t="s">
        <v>74</v>
      </c>
      <c r="C46" s="156" t="s">
        <v>73</v>
      </c>
      <c r="D46" s="113">
        <v>185</v>
      </c>
      <c r="E46" s="114">
        <v>15000</v>
      </c>
      <c r="F46" s="205"/>
      <c r="G46" s="205"/>
      <c r="H46" s="205"/>
      <c r="I46" s="130"/>
      <c r="J46" s="178" t="s">
        <v>129</v>
      </c>
      <c r="K46" s="175" t="s">
        <v>130</v>
      </c>
      <c r="L46" s="176">
        <v>453000</v>
      </c>
      <c r="M46" s="176">
        <v>191177.60000000001</v>
      </c>
      <c r="N46" s="176">
        <f>M46*90%</f>
        <v>172059.84</v>
      </c>
      <c r="O46" s="176">
        <f>N46</f>
        <v>172059.84</v>
      </c>
    </row>
    <row r="47" spans="2:15" ht="12.75" hidden="1" x14ac:dyDescent="0.2">
      <c r="B47" s="167" t="s">
        <v>76</v>
      </c>
      <c r="C47" s="156" t="s">
        <v>75</v>
      </c>
      <c r="D47" s="113">
        <v>208</v>
      </c>
      <c r="E47" s="114">
        <v>15000</v>
      </c>
      <c r="F47" s="205"/>
      <c r="G47" s="205"/>
      <c r="H47" s="205"/>
      <c r="I47" s="130"/>
      <c r="J47" s="178" t="s">
        <v>131</v>
      </c>
      <c r="K47" s="175" t="s">
        <v>132</v>
      </c>
      <c r="L47" s="176">
        <v>469000</v>
      </c>
      <c r="M47" s="176">
        <v>159314.66666666666</v>
      </c>
      <c r="N47" s="176">
        <f t="shared" ref="N47:N49" si="0">M47*90%</f>
        <v>143383.19999999998</v>
      </c>
      <c r="O47" s="176">
        <f t="shared" ref="O47:O49" si="1">N47</f>
        <v>143383.19999999998</v>
      </c>
    </row>
    <row r="48" spans="2:15" ht="12.75" hidden="1" x14ac:dyDescent="0.2">
      <c r="B48" s="167" t="s">
        <v>77</v>
      </c>
      <c r="C48" s="156" t="s">
        <v>78</v>
      </c>
      <c r="D48" s="113">
        <v>288</v>
      </c>
      <c r="E48" s="114">
        <v>20000</v>
      </c>
      <c r="F48" s="205"/>
      <c r="G48" s="205"/>
      <c r="H48" s="205"/>
      <c r="I48" s="130"/>
      <c r="J48" s="178" t="s">
        <v>133</v>
      </c>
      <c r="K48" s="175" t="s">
        <v>134</v>
      </c>
      <c r="L48" s="176">
        <v>485000</v>
      </c>
      <c r="M48" s="176">
        <v>136555.42857142858</v>
      </c>
      <c r="N48" s="176">
        <f t="shared" si="0"/>
        <v>122899.88571428573</v>
      </c>
      <c r="O48" s="176">
        <f t="shared" si="1"/>
        <v>122899.88571428573</v>
      </c>
    </row>
    <row r="49" spans="2:15" ht="12.75" hidden="1" x14ac:dyDescent="0.2">
      <c r="B49" s="167" t="s">
        <v>82</v>
      </c>
      <c r="C49" s="156" t="s">
        <v>79</v>
      </c>
      <c r="D49" s="113">
        <v>368</v>
      </c>
      <c r="E49" s="114">
        <v>20000</v>
      </c>
      <c r="F49" s="205"/>
      <c r="G49" s="205"/>
      <c r="H49" s="205"/>
      <c r="I49" s="130"/>
      <c r="J49" s="178" t="s">
        <v>135</v>
      </c>
      <c r="K49" s="175" t="s">
        <v>136</v>
      </c>
      <c r="L49" s="176">
        <v>501000</v>
      </c>
      <c r="M49" s="176">
        <v>119486</v>
      </c>
      <c r="N49" s="176">
        <f t="shared" si="0"/>
        <v>107537.40000000001</v>
      </c>
      <c r="O49" s="176">
        <f t="shared" si="1"/>
        <v>107537.40000000001</v>
      </c>
    </row>
    <row r="50" spans="2:15" ht="12.75" hidden="1" x14ac:dyDescent="0.2">
      <c r="B50" s="167" t="s">
        <v>86</v>
      </c>
      <c r="C50" s="156" t="s">
        <v>87</v>
      </c>
      <c r="D50" s="113">
        <v>452</v>
      </c>
      <c r="E50" s="114">
        <v>20000</v>
      </c>
      <c r="F50" s="205"/>
      <c r="G50" s="205"/>
      <c r="H50" s="205"/>
      <c r="I50" s="130"/>
      <c r="J50" s="178" t="s">
        <v>137</v>
      </c>
      <c r="K50" s="175" t="s">
        <v>138</v>
      </c>
      <c r="L50" s="176">
        <v>503000</v>
      </c>
      <c r="M50" s="176">
        <v>82614</v>
      </c>
      <c r="N50" s="176">
        <f>M50*90%</f>
        <v>74352.600000000006</v>
      </c>
      <c r="O50" s="176">
        <f>N50</f>
        <v>74352.600000000006</v>
      </c>
    </row>
    <row r="51" spans="2:15" ht="12.75" hidden="1" x14ac:dyDescent="0.2">
      <c r="B51" s="167" t="s">
        <v>96</v>
      </c>
      <c r="C51" s="156" t="s">
        <v>154</v>
      </c>
      <c r="D51" s="113">
        <v>59.8</v>
      </c>
      <c r="E51" s="114">
        <v>100000</v>
      </c>
      <c r="F51" s="205"/>
      <c r="G51" s="205"/>
      <c r="H51" s="205"/>
      <c r="I51" s="130"/>
      <c r="J51" s="178" t="s">
        <v>139</v>
      </c>
      <c r="K51" s="175" t="s">
        <v>140</v>
      </c>
      <c r="L51" s="176">
        <v>417000</v>
      </c>
      <c r="M51" s="176">
        <v>64178</v>
      </c>
      <c r="N51" s="176">
        <f>M51*90%</f>
        <v>57760.200000000004</v>
      </c>
      <c r="O51" s="176">
        <f>N51</f>
        <v>57760.200000000004</v>
      </c>
    </row>
    <row r="52" spans="2:15" ht="12.75" hidden="1" x14ac:dyDescent="0.2">
      <c r="B52" s="167" t="s">
        <v>97</v>
      </c>
      <c r="C52" s="156" t="s">
        <v>155</v>
      </c>
      <c r="D52" s="113">
        <v>92</v>
      </c>
      <c r="E52" s="114">
        <v>100000</v>
      </c>
      <c r="F52" s="205"/>
      <c r="G52" s="205"/>
      <c r="H52" s="205"/>
      <c r="I52" s="130"/>
      <c r="J52" s="178"/>
      <c r="K52" s="175"/>
      <c r="L52" s="176"/>
      <c r="M52" s="176"/>
      <c r="N52" s="176"/>
      <c r="O52" s="176"/>
    </row>
    <row r="53" spans="2:15" ht="12.75" hidden="1" x14ac:dyDescent="0.2">
      <c r="B53" s="168" t="s">
        <v>99</v>
      </c>
      <c r="C53" s="156" t="s">
        <v>156</v>
      </c>
      <c r="D53" s="113">
        <v>162</v>
      </c>
      <c r="E53" s="114">
        <v>100000</v>
      </c>
      <c r="F53" s="205"/>
      <c r="G53" s="205"/>
      <c r="H53" s="205"/>
      <c r="I53" s="130"/>
      <c r="J53" s="178"/>
      <c r="K53" s="175"/>
      <c r="L53" s="176"/>
      <c r="M53" s="176"/>
      <c r="N53" s="176"/>
      <c r="O53" s="176"/>
    </row>
    <row r="54" spans="2:15" hidden="1" x14ac:dyDescent="0.2">
      <c r="B54" s="167" t="s">
        <v>98</v>
      </c>
      <c r="C54" s="156" t="s">
        <v>102</v>
      </c>
      <c r="D54" s="113">
        <v>90</v>
      </c>
      <c r="E54" s="114">
        <v>15000</v>
      </c>
      <c r="F54" s="205"/>
      <c r="G54" s="205"/>
      <c r="H54" s="205"/>
      <c r="I54" s="130"/>
      <c r="J54" s="88"/>
      <c r="K54" s="88"/>
      <c r="M54" s="88"/>
      <c r="N54" s="88"/>
      <c r="O54" s="88"/>
    </row>
    <row r="55" spans="2:15" hidden="1" x14ac:dyDescent="0.2">
      <c r="B55" s="167" t="s">
        <v>100</v>
      </c>
      <c r="C55" s="156" t="s">
        <v>103</v>
      </c>
      <c r="D55" s="113">
        <v>125</v>
      </c>
      <c r="E55" s="114">
        <v>15000</v>
      </c>
      <c r="F55" s="205"/>
      <c r="G55" s="205"/>
      <c r="H55" s="205"/>
      <c r="I55" s="130"/>
      <c r="J55" s="88"/>
      <c r="K55" s="88"/>
      <c r="M55" s="88"/>
      <c r="N55" s="88"/>
      <c r="O55" s="88"/>
    </row>
    <row r="56" spans="2:15" hidden="1" x14ac:dyDescent="0.2">
      <c r="B56" s="167" t="s">
        <v>101</v>
      </c>
      <c r="C56" s="156" t="s">
        <v>104</v>
      </c>
      <c r="D56" s="113">
        <v>185</v>
      </c>
      <c r="E56" s="114">
        <v>15000</v>
      </c>
      <c r="F56" s="205"/>
      <c r="G56" s="205"/>
      <c r="H56" s="205"/>
      <c r="I56" s="130"/>
      <c r="J56" s="86"/>
      <c r="K56" s="86"/>
      <c r="L56" s="84"/>
      <c r="M56" s="86"/>
      <c r="N56" s="88"/>
      <c r="O56" s="88"/>
    </row>
    <row r="57" spans="2:15" hidden="1" x14ac:dyDescent="0.2">
      <c r="B57" s="167" t="s">
        <v>151</v>
      </c>
      <c r="C57" s="156" t="s">
        <v>105</v>
      </c>
      <c r="D57" s="113">
        <v>208</v>
      </c>
      <c r="E57" s="114">
        <v>15000</v>
      </c>
      <c r="F57" s="205"/>
      <c r="G57" s="205"/>
      <c r="H57" s="205"/>
      <c r="I57" s="130"/>
      <c r="J57" s="86"/>
      <c r="K57" s="86"/>
      <c r="L57" s="84"/>
      <c r="M57" s="86"/>
      <c r="N57" s="88"/>
      <c r="O57" s="88"/>
    </row>
    <row r="58" spans="2:15" hidden="1" x14ac:dyDescent="0.2">
      <c r="B58" s="167" t="s">
        <v>152</v>
      </c>
      <c r="C58" s="156" t="s">
        <v>106</v>
      </c>
      <c r="D58" s="113">
        <v>288</v>
      </c>
      <c r="E58" s="114">
        <v>15000</v>
      </c>
      <c r="F58" s="205"/>
      <c r="G58" s="205"/>
      <c r="H58" s="205"/>
      <c r="I58" s="130"/>
      <c r="J58" s="86"/>
      <c r="K58" s="86"/>
      <c r="L58" s="84"/>
      <c r="M58" s="86"/>
      <c r="N58" s="88"/>
      <c r="O58" s="88"/>
    </row>
    <row r="59" spans="2:15" hidden="1" x14ac:dyDescent="0.2">
      <c r="B59" s="167" t="s">
        <v>113</v>
      </c>
      <c r="C59" s="156" t="s">
        <v>107</v>
      </c>
      <c r="D59" s="113">
        <v>368</v>
      </c>
      <c r="E59" s="114">
        <v>20000</v>
      </c>
      <c r="F59" s="205"/>
      <c r="G59" s="141"/>
      <c r="H59" s="205"/>
      <c r="I59" s="130"/>
      <c r="J59" s="86"/>
      <c r="K59" s="86"/>
      <c r="L59" s="84"/>
      <c r="M59" s="86"/>
      <c r="N59" s="88"/>
      <c r="O59" s="88"/>
    </row>
    <row r="60" spans="2:15" hidden="1" x14ac:dyDescent="0.2">
      <c r="B60" s="169" t="s">
        <v>153</v>
      </c>
      <c r="C60" s="157" t="s">
        <v>108</v>
      </c>
      <c r="D60" s="118">
        <v>452</v>
      </c>
      <c r="E60" s="119">
        <v>20000</v>
      </c>
      <c r="F60" s="205"/>
      <c r="G60" s="141"/>
      <c r="H60" s="117"/>
      <c r="I60" s="130"/>
      <c r="J60" s="86"/>
      <c r="K60" s="86"/>
      <c r="L60" s="84"/>
      <c r="M60" s="86"/>
      <c r="N60" s="88"/>
      <c r="O60" s="88"/>
    </row>
    <row r="61" spans="2:15" hidden="1" x14ac:dyDescent="0.2">
      <c r="B61" s="209"/>
      <c r="C61" s="210"/>
      <c r="D61" s="210"/>
      <c r="E61" s="210"/>
      <c r="F61" s="205"/>
      <c r="G61" s="141"/>
      <c r="H61" s="142"/>
      <c r="I61" s="130"/>
      <c r="J61" s="86"/>
      <c r="K61" s="86"/>
      <c r="L61" s="84"/>
      <c r="M61" s="86"/>
      <c r="N61" s="88"/>
      <c r="O61" s="88"/>
    </row>
    <row r="62" spans="2:15" x14ac:dyDescent="0.2">
      <c r="B62" s="204"/>
      <c r="C62" s="205"/>
      <c r="D62" s="205"/>
      <c r="E62" s="205"/>
      <c r="F62" s="205"/>
      <c r="G62" s="141"/>
      <c r="H62" s="143"/>
      <c r="I62" s="130"/>
      <c r="J62" s="86"/>
      <c r="K62" s="86"/>
      <c r="L62" s="84"/>
      <c r="M62" s="86"/>
      <c r="N62" s="88"/>
      <c r="O62" s="88"/>
    </row>
    <row r="63" spans="2:15" x14ac:dyDescent="0.2">
      <c r="B63" s="144" t="s">
        <v>34</v>
      </c>
      <c r="C63" s="205"/>
      <c r="D63" s="205"/>
      <c r="E63" s="205"/>
      <c r="F63" s="205"/>
      <c r="G63" s="205"/>
      <c r="H63" s="205"/>
      <c r="I63" s="130"/>
      <c r="J63" s="86"/>
      <c r="K63" s="86"/>
      <c r="L63" s="84"/>
      <c r="M63" s="86"/>
      <c r="N63" s="88"/>
      <c r="O63" s="88"/>
    </row>
    <row r="64" spans="2:15" x14ac:dyDescent="0.2">
      <c r="B64" s="145" t="s">
        <v>39</v>
      </c>
      <c r="C64" s="205"/>
      <c r="D64" s="205"/>
      <c r="E64" s="205"/>
      <c r="F64" s="205"/>
      <c r="G64" s="205"/>
      <c r="H64" s="205"/>
      <c r="I64" s="130"/>
      <c r="J64" s="86"/>
      <c r="K64" s="86"/>
      <c r="L64" s="84"/>
      <c r="M64" s="86"/>
      <c r="N64" s="88"/>
      <c r="O64" s="88"/>
    </row>
    <row r="65" spans="2:15" x14ac:dyDescent="0.2">
      <c r="B65" s="149" t="s">
        <v>28</v>
      </c>
      <c r="C65" s="205"/>
      <c r="D65" s="205"/>
      <c r="E65" s="205"/>
      <c r="F65" s="205"/>
      <c r="G65" s="205"/>
      <c r="H65" s="205"/>
      <c r="I65" s="130"/>
      <c r="J65" s="86"/>
      <c r="K65" s="86"/>
      <c r="L65" s="84"/>
      <c r="M65" s="86"/>
      <c r="N65" s="88"/>
      <c r="O65" s="88"/>
    </row>
    <row r="66" spans="2:15" ht="12" thickBot="1" x14ac:dyDescent="0.25">
      <c r="B66" s="150" t="s">
        <v>27</v>
      </c>
      <c r="C66" s="151"/>
      <c r="D66" s="151"/>
      <c r="E66" s="151"/>
      <c r="F66" s="151"/>
      <c r="G66" s="152"/>
      <c r="H66" s="151"/>
      <c r="I66" s="153"/>
      <c r="J66" s="86"/>
      <c r="K66" s="86"/>
      <c r="L66" s="84"/>
      <c r="M66" s="86"/>
      <c r="N66" s="88"/>
      <c r="O66" s="88"/>
    </row>
    <row r="67" spans="2:15" x14ac:dyDescent="0.2">
      <c r="C67" s="127"/>
      <c r="D67" s="127"/>
      <c r="E67" s="127"/>
      <c r="F67" s="127"/>
      <c r="G67" s="128"/>
      <c r="H67" s="127"/>
      <c r="I67" s="129"/>
      <c r="J67" s="86"/>
      <c r="K67" s="86"/>
      <c r="L67" s="84"/>
      <c r="M67" s="86"/>
      <c r="N67" s="88"/>
      <c r="O67" s="88"/>
    </row>
    <row r="68" spans="2:15" x14ac:dyDescent="0.2">
      <c r="C68" s="120"/>
      <c r="D68" s="120"/>
      <c r="E68" s="120"/>
      <c r="F68" s="120"/>
      <c r="G68" s="121"/>
      <c r="H68" s="120"/>
      <c r="I68" s="122"/>
      <c r="J68" s="86"/>
      <c r="K68" s="86"/>
      <c r="L68" s="84"/>
      <c r="M68" s="86"/>
      <c r="N68" s="88"/>
      <c r="O68" s="88"/>
    </row>
    <row r="69" spans="2:15" x14ac:dyDescent="0.2">
      <c r="C69" s="120"/>
      <c r="D69" s="120"/>
      <c r="E69" s="120"/>
      <c r="F69" s="120"/>
      <c r="G69" s="121"/>
      <c r="H69" s="120"/>
      <c r="I69" s="122"/>
      <c r="J69" s="86"/>
      <c r="K69" s="86"/>
      <c r="L69" s="84"/>
      <c r="M69" s="86"/>
      <c r="N69" s="88"/>
      <c r="O69" s="88"/>
    </row>
    <row r="70" spans="2:15" x14ac:dyDescent="0.2">
      <c r="B70" s="123"/>
      <c r="C70" s="123"/>
      <c r="D70" s="123"/>
      <c r="E70" s="123"/>
      <c r="F70" s="123"/>
      <c r="G70" s="124"/>
      <c r="H70" s="123"/>
      <c r="I70" s="125"/>
      <c r="J70" s="86"/>
      <c r="K70" s="86"/>
      <c r="L70" s="84"/>
      <c r="M70" s="86"/>
      <c r="N70" s="88"/>
      <c r="O70" s="88"/>
    </row>
    <row r="71" spans="2:15" x14ac:dyDescent="0.2">
      <c r="B71" s="85"/>
      <c r="C71" s="85"/>
      <c r="D71" s="85"/>
      <c r="E71" s="85"/>
      <c r="F71" s="85"/>
      <c r="G71" s="85"/>
      <c r="H71" s="85"/>
      <c r="I71" s="84"/>
      <c r="J71" s="86"/>
      <c r="K71" s="86"/>
      <c r="L71" s="84"/>
      <c r="M71" s="86"/>
      <c r="N71" s="88"/>
      <c r="O71" s="88"/>
    </row>
  </sheetData>
  <sheetProtection password="D833" sheet="1" objects="1" scenarios="1"/>
  <mergeCells count="25">
    <mergeCell ref="J44:N44"/>
    <mergeCell ref="C16:H16"/>
    <mergeCell ref="C17:H17"/>
    <mergeCell ref="C25:H25"/>
    <mergeCell ref="B3:I3"/>
    <mergeCell ref="C21:H21"/>
    <mergeCell ref="C22:H22"/>
    <mergeCell ref="C24:H24"/>
    <mergeCell ref="B34:C34"/>
    <mergeCell ref="B5:G5"/>
    <mergeCell ref="B4:I4"/>
    <mergeCell ref="C26:H26"/>
    <mergeCell ref="C33:H33"/>
    <mergeCell ref="H34:I34"/>
    <mergeCell ref="C6:H6"/>
    <mergeCell ref="C7:H7"/>
    <mergeCell ref="C14:H14"/>
    <mergeCell ref="C27:H27"/>
    <mergeCell ref="C15:H15"/>
    <mergeCell ref="C8:H8"/>
    <mergeCell ref="C10:H10"/>
    <mergeCell ref="C11:H11"/>
    <mergeCell ref="C12:H12"/>
    <mergeCell ref="C13:H13"/>
    <mergeCell ref="C9:H9"/>
  </mergeCells>
  <phoneticPr fontId="2" type="noConversion"/>
  <dataValidations count="4">
    <dataValidation type="list" allowBlank="1" showInputMessage="1" showErrorMessage="1" sqref="I18 I28" xr:uid="{00000000-0002-0000-0000-000000000000}">
      <formula1>$J$18:$J$19</formula1>
    </dataValidation>
    <dataValidation type="list" allowBlank="1" showInputMessage="1" showErrorMessage="1" sqref="I25" xr:uid="{00000000-0002-0000-0000-000001000000}">
      <formula1>$I$36:$I$40</formula1>
    </dataValidation>
    <dataValidation type="list" allowBlank="1" showInputMessage="1" showErrorMessage="1" sqref="I7" xr:uid="{00000000-0002-0000-0000-000002000000}">
      <formula1>$C$36:$C$60</formula1>
    </dataValidation>
    <dataValidation type="whole" operator="lessThanOrEqual" allowBlank="1" showInputMessage="1" showErrorMessage="1" sqref="I24" xr:uid="{00000000-0002-0000-0000-000003000000}">
      <formula1>131</formula1>
    </dataValidation>
  </dataValidations>
  <pageMargins left="0.25" right="0.25" top="0.25" bottom="0.25" header="0.25" footer="0.25"/>
  <pageSetup scale="6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P65"/>
  <sheetViews>
    <sheetView zoomScale="90" zoomScaleNormal="90" zoomScaleSheetLayoutView="85" workbookViewId="0">
      <selection activeCell="L13" sqref="L13"/>
    </sheetView>
  </sheetViews>
  <sheetFormatPr defaultColWidth="9.140625" defaultRowHeight="12.75" x14ac:dyDescent="0.2"/>
  <cols>
    <col min="1" max="1" width="9" style="1" customWidth="1"/>
    <col min="2" max="2" width="33" style="1" customWidth="1"/>
    <col min="3" max="3" width="17.42578125" style="1" customWidth="1"/>
    <col min="4" max="4" width="15.140625" style="1" customWidth="1"/>
    <col min="5" max="5" width="22.140625" style="1" customWidth="1"/>
    <col min="6" max="6" width="8.5703125" style="1" customWidth="1"/>
    <col min="7" max="7" width="13.5703125" style="1" customWidth="1"/>
    <col min="8" max="8" width="11" style="1" customWidth="1"/>
    <col min="9" max="9" width="8.140625" style="1" customWidth="1"/>
    <col min="10" max="10" width="10.28515625" style="1" customWidth="1"/>
    <col min="11" max="11" width="10.85546875" style="1" bestFit="1" customWidth="1"/>
    <col min="12" max="12" width="13.85546875" style="1" bestFit="1" customWidth="1"/>
    <col min="13" max="13" width="12.28515625" style="1" bestFit="1" customWidth="1"/>
    <col min="14" max="14" width="10.28515625" style="1" customWidth="1"/>
    <col min="15" max="16384" width="9.140625" style="1"/>
  </cols>
  <sheetData>
    <row r="1" spans="1:12" x14ac:dyDescent="0.2">
      <c r="A1" s="43"/>
      <c r="B1" s="43"/>
      <c r="C1" s="43"/>
      <c r="D1" s="43"/>
      <c r="E1" s="43"/>
      <c r="F1" s="43"/>
      <c r="G1" s="43"/>
      <c r="H1" s="43"/>
      <c r="I1" s="43"/>
    </row>
    <row r="2" spans="1:12" x14ac:dyDescent="0.2">
      <c r="A2" s="43"/>
      <c r="B2" s="43"/>
      <c r="C2" s="43"/>
      <c r="D2" s="43"/>
      <c r="E2" s="43"/>
      <c r="F2" s="43"/>
      <c r="G2" s="43"/>
      <c r="H2" s="43"/>
      <c r="I2" s="43"/>
    </row>
    <row r="3" spans="1:12" x14ac:dyDescent="0.2">
      <c r="A3" s="43"/>
      <c r="B3" s="43"/>
      <c r="C3" s="43"/>
      <c r="D3" s="43"/>
      <c r="E3" s="43"/>
      <c r="F3" s="43"/>
      <c r="G3" s="43"/>
      <c r="H3" s="43"/>
      <c r="I3" s="43"/>
    </row>
    <row r="4" spans="1:12" ht="18" customHeight="1" x14ac:dyDescent="0.2">
      <c r="A4" s="43"/>
      <c r="B4" s="43"/>
      <c r="C4" s="43"/>
      <c r="D4" s="43"/>
      <c r="E4" s="43"/>
      <c r="F4" s="43"/>
      <c r="G4" s="269" t="s">
        <v>41</v>
      </c>
      <c r="H4" s="270"/>
      <c r="I4" s="270"/>
    </row>
    <row r="5" spans="1:12" ht="17.25" customHeight="1" x14ac:dyDescent="0.2">
      <c r="A5" s="43"/>
      <c r="B5" s="43"/>
      <c r="C5" s="43"/>
      <c r="D5" s="43"/>
      <c r="E5" s="43"/>
      <c r="F5" s="43"/>
      <c r="G5" s="271"/>
      <c r="H5" s="272"/>
      <c r="I5" s="272"/>
    </row>
    <row r="6" spans="1:12" ht="22.5" customHeight="1" x14ac:dyDescent="0.2">
      <c r="A6" s="273" t="str">
        <f>'Input Sheet'!I6</f>
        <v>Customer Name</v>
      </c>
      <c r="B6" s="274"/>
      <c r="C6" s="274"/>
      <c r="D6" s="274"/>
      <c r="E6" s="274"/>
      <c r="F6" s="274"/>
      <c r="G6" s="274"/>
      <c r="H6" s="274"/>
      <c r="I6" s="274"/>
    </row>
    <row r="7" spans="1:12" ht="20.25" customHeight="1" x14ac:dyDescent="0.2">
      <c r="A7" s="275" t="s">
        <v>166</v>
      </c>
      <c r="B7" s="275"/>
      <c r="C7" s="275"/>
      <c r="D7" s="275"/>
      <c r="E7" s="275"/>
      <c r="F7" s="275"/>
      <c r="G7" s="275"/>
      <c r="H7" s="275"/>
      <c r="I7" s="275"/>
    </row>
    <row r="8" spans="1:12" ht="21.75" customHeight="1" x14ac:dyDescent="0.2">
      <c r="A8" s="242" t="s">
        <v>56</v>
      </c>
      <c r="B8" s="243"/>
      <c r="C8" s="243"/>
      <c r="D8" s="243"/>
      <c r="E8" s="243"/>
      <c r="F8" s="243"/>
      <c r="G8" s="243"/>
      <c r="H8" s="243"/>
      <c r="I8" s="244"/>
    </row>
    <row r="9" spans="1:12" ht="20.25" customHeight="1" x14ac:dyDescent="0.2">
      <c r="A9" s="283" t="s">
        <v>4</v>
      </c>
      <c r="B9" s="284"/>
      <c r="C9" s="284"/>
      <c r="D9" s="284"/>
      <c r="E9" s="285"/>
      <c r="F9" s="294" t="str">
        <f>'Input Sheet'!J7</f>
        <v>175W MH</v>
      </c>
      <c r="G9" s="294"/>
      <c r="H9" s="265" t="s">
        <v>0</v>
      </c>
      <c r="I9" s="265"/>
    </row>
    <row r="10" spans="1:12" ht="18" x14ac:dyDescent="0.2">
      <c r="A10" s="281" t="s">
        <v>1</v>
      </c>
      <c r="B10" s="282"/>
      <c r="C10" s="282"/>
      <c r="D10" s="282"/>
      <c r="E10" s="282"/>
      <c r="F10" s="263">
        <f>(('Input Sheet'!K17*'Input Sheet'!K7)/1000)*'Input Sheet'!I9</f>
        <v>181708.79999999999</v>
      </c>
      <c r="G10" s="264"/>
      <c r="H10" s="263">
        <f>IF('Input Sheet'!I28="YES",(('Input Sheet'!K18*'Input Sheet'!K25)/1000)*'Input Sheet'!I8,(('Input Sheet'!K17*'Input Sheet'!K25)/1000)*'Input Sheet'!I8)</f>
        <v>37346.400000000001</v>
      </c>
      <c r="I10" s="263"/>
      <c r="L10" s="44"/>
    </row>
    <row r="11" spans="1:12" ht="18" x14ac:dyDescent="0.2">
      <c r="A11" s="286" t="s">
        <v>2</v>
      </c>
      <c r="B11" s="287"/>
      <c r="C11" s="287"/>
      <c r="D11" s="287"/>
      <c r="E11" s="287"/>
      <c r="F11" s="263">
        <f>F10*'Input Sheet'!I16</f>
        <v>16353.791999999998</v>
      </c>
      <c r="G11" s="264"/>
      <c r="H11" s="263">
        <f>H10*'Input Sheet'!I16</f>
        <v>3361.1759999999999</v>
      </c>
      <c r="I11" s="263"/>
    </row>
    <row r="12" spans="1:12" ht="18" x14ac:dyDescent="0.2">
      <c r="A12" s="279" t="s">
        <v>32</v>
      </c>
      <c r="B12" s="280"/>
      <c r="C12" s="280"/>
      <c r="D12" s="280"/>
      <c r="E12" s="280"/>
      <c r="F12" s="266">
        <f>F11*H19</f>
        <v>224639.99999999994</v>
      </c>
      <c r="G12" s="301"/>
      <c r="H12" s="266">
        <f>H11*H19</f>
        <v>46169.999999999993</v>
      </c>
      <c r="I12" s="266"/>
    </row>
    <row r="13" spans="1:12" ht="18" x14ac:dyDescent="0.2">
      <c r="A13" s="279" t="s">
        <v>141</v>
      </c>
      <c r="B13" s="280"/>
      <c r="C13" s="280"/>
      <c r="D13" s="280"/>
      <c r="E13" s="280"/>
      <c r="F13" s="288"/>
      <c r="G13" s="288"/>
      <c r="H13" s="289">
        <f>(F10-H10)*('Input Sheet'!I19/52*'Input Sheet'!I20)/'Input Sheet'!I23</f>
        <v>44121.137206427738</v>
      </c>
      <c r="I13" s="289"/>
    </row>
    <row r="14" spans="1:12" ht="18" x14ac:dyDescent="0.2">
      <c r="A14" s="279" t="s">
        <v>142</v>
      </c>
      <c r="B14" s="280"/>
      <c r="C14" s="280"/>
      <c r="D14" s="280"/>
      <c r="E14" s="280"/>
      <c r="F14" s="288"/>
      <c r="G14" s="288"/>
      <c r="H14" s="290">
        <f>H13*'Input Sheet'!I16</f>
        <v>3970.9023485784965</v>
      </c>
      <c r="I14" s="290"/>
    </row>
    <row r="15" spans="1:12" ht="17.25" customHeight="1" x14ac:dyDescent="0.2">
      <c r="A15" s="253" t="s">
        <v>3</v>
      </c>
      <c r="B15" s="254"/>
      <c r="C15" s="254"/>
      <c r="D15" s="254"/>
      <c r="E15" s="254"/>
      <c r="F15" s="160"/>
      <c r="G15" s="160"/>
      <c r="H15" s="295">
        <f>(F11-H11)+H14</f>
        <v>16963.518348578495</v>
      </c>
      <c r="I15" s="296"/>
    </row>
    <row r="16" spans="1:12" ht="15.75" customHeight="1" x14ac:dyDescent="0.2">
      <c r="A16" s="35" t="s">
        <v>29</v>
      </c>
      <c r="B16" s="36"/>
      <c r="C16" s="36"/>
      <c r="D16" s="36"/>
      <c r="E16" s="36"/>
      <c r="F16" s="38"/>
      <c r="G16" s="160"/>
      <c r="H16" s="295">
        <f>(F12-H12)+H14*H19</f>
        <v>233015.36193102325</v>
      </c>
      <c r="I16" s="296"/>
    </row>
    <row r="17" spans="1:10" ht="6" customHeight="1" x14ac:dyDescent="0.2">
      <c r="A17" s="4"/>
      <c r="B17" s="5"/>
      <c r="C17" s="5"/>
      <c r="D17" s="5"/>
      <c r="E17" s="5"/>
      <c r="F17" s="5"/>
      <c r="G17" s="5"/>
      <c r="H17" s="5"/>
      <c r="I17" s="6"/>
    </row>
    <row r="18" spans="1:10" ht="18" customHeight="1" x14ac:dyDescent="0.2">
      <c r="A18" s="283" t="s">
        <v>5</v>
      </c>
      <c r="B18" s="284"/>
      <c r="C18" s="284"/>
      <c r="D18" s="284"/>
      <c r="E18" s="285"/>
      <c r="F18" s="294" t="str">
        <f>F9</f>
        <v>175W MH</v>
      </c>
      <c r="G18" s="294"/>
      <c r="H18" s="265" t="s">
        <v>0</v>
      </c>
      <c r="I18" s="265"/>
    </row>
    <row r="19" spans="1:10" ht="18" customHeight="1" x14ac:dyDescent="0.2">
      <c r="A19" s="276" t="s">
        <v>35</v>
      </c>
      <c r="B19" s="277"/>
      <c r="C19" s="277"/>
      <c r="D19" s="277"/>
      <c r="E19" s="278"/>
      <c r="F19" s="297">
        <f>('Input Sheet'!L7*0.55)/'Input Sheet'!K17</f>
        <v>0.94436813186813184</v>
      </c>
      <c r="G19" s="298"/>
      <c r="H19" s="299">
        <f>IF('Input Sheet'!I28="NO",'Input Sheet'!L25/'Input Sheet'!K17,'Input Sheet'!L25/'Input Sheet'!K18)</f>
        <v>13.736263736263735</v>
      </c>
      <c r="I19" s="300"/>
    </row>
    <row r="20" spans="1:10" ht="18" x14ac:dyDescent="0.2">
      <c r="A20" s="286" t="s">
        <v>25</v>
      </c>
      <c r="B20" s="287"/>
      <c r="C20" s="287"/>
      <c r="D20" s="287"/>
      <c r="E20" s="291"/>
      <c r="F20" s="267">
        <f>(('Input Sheet'!I11+'Input Sheet'!I12)*'Input Sheet'!I9)/$F$19</f>
        <v>2859.0545454545454</v>
      </c>
      <c r="G20" s="268"/>
      <c r="H20" s="261">
        <v>0</v>
      </c>
      <c r="I20" s="262"/>
    </row>
    <row r="21" spans="1:10" ht="18" x14ac:dyDescent="0.2">
      <c r="A21" s="81" t="s">
        <v>93</v>
      </c>
      <c r="B21" s="82"/>
      <c r="C21" s="82"/>
      <c r="D21" s="82"/>
      <c r="E21" s="83"/>
      <c r="F21" s="267">
        <f>'Input Sheet'!I27/$F$19</f>
        <v>0</v>
      </c>
      <c r="G21" s="268"/>
      <c r="H21" s="261">
        <v>0</v>
      </c>
      <c r="I21" s="262"/>
    </row>
    <row r="22" spans="1:10" ht="18" x14ac:dyDescent="0.2">
      <c r="A22" s="286" t="s">
        <v>92</v>
      </c>
      <c r="B22" s="287"/>
      <c r="C22" s="287"/>
      <c r="D22" s="287"/>
      <c r="E22" s="291"/>
      <c r="F22" s="267">
        <f>('Input Sheet'!I9*'Input Sheet'!I13*'Input Sheet'!I14*'Input Sheet'!I15)/$F$19</f>
        <v>16942.545454545456</v>
      </c>
      <c r="G22" s="268"/>
      <c r="H22" s="261">
        <v>0</v>
      </c>
      <c r="I22" s="262"/>
      <c r="J22" s="45"/>
    </row>
    <row r="23" spans="1:10" ht="18" x14ac:dyDescent="0.2">
      <c r="A23" s="253" t="s">
        <v>94</v>
      </c>
      <c r="B23" s="254"/>
      <c r="C23" s="254"/>
      <c r="D23" s="254"/>
      <c r="E23" s="254"/>
      <c r="F23" s="249"/>
      <c r="G23" s="250"/>
      <c r="H23" s="302">
        <f>(F20+F22+F21)-(H20+H22+H21)</f>
        <v>19801.600000000002</v>
      </c>
      <c r="I23" s="303"/>
      <c r="J23" s="158"/>
    </row>
    <row r="24" spans="1:10" ht="18" x14ac:dyDescent="0.2">
      <c r="A24" s="253" t="s">
        <v>95</v>
      </c>
      <c r="B24" s="254"/>
      <c r="C24" s="254"/>
      <c r="D24" s="254"/>
      <c r="E24" s="254"/>
      <c r="F24" s="251"/>
      <c r="G24" s="252"/>
      <c r="H24" s="292">
        <f>H23*H19</f>
        <v>272000</v>
      </c>
      <c r="I24" s="293"/>
      <c r="J24" s="158"/>
    </row>
    <row r="25" spans="1:10" ht="8.25" customHeight="1" x14ac:dyDescent="0.2">
      <c r="A25" s="41"/>
      <c r="B25" s="42"/>
      <c r="C25" s="5"/>
      <c r="D25" s="5"/>
      <c r="E25" s="5"/>
      <c r="F25" s="5"/>
      <c r="G25" s="5"/>
      <c r="H25" s="5"/>
      <c r="I25" s="6"/>
    </row>
    <row r="26" spans="1:10" ht="19.5" customHeight="1" x14ac:dyDescent="0.2">
      <c r="A26" s="46"/>
      <c r="B26" s="46"/>
      <c r="C26" s="46"/>
      <c r="D26" s="46"/>
      <c r="E26" s="46"/>
      <c r="F26" s="2"/>
      <c r="G26" s="2"/>
      <c r="H26" s="47"/>
      <c r="I26" s="47"/>
    </row>
    <row r="27" spans="1:10" ht="21.95" customHeight="1" x14ac:dyDescent="0.2">
      <c r="A27" s="242" t="s">
        <v>42</v>
      </c>
      <c r="B27" s="243"/>
      <c r="C27" s="243"/>
      <c r="D27" s="243"/>
      <c r="E27" s="243"/>
      <c r="F27" s="243"/>
      <c r="G27" s="243"/>
      <c r="H27" s="243"/>
      <c r="I27" s="244"/>
    </row>
    <row r="28" spans="1:10" ht="6" customHeight="1" x14ac:dyDescent="0.2">
      <c r="A28" s="255"/>
      <c r="B28" s="256"/>
      <c r="C28" s="256"/>
      <c r="D28" s="256"/>
      <c r="E28" s="256"/>
      <c r="F28" s="256"/>
      <c r="G28" s="256"/>
      <c r="H28" s="256"/>
      <c r="I28" s="257"/>
    </row>
    <row r="29" spans="1:10" ht="19.5" customHeight="1" x14ac:dyDescent="0.2">
      <c r="A29" s="48"/>
      <c r="B29" s="33"/>
      <c r="C29" s="49" t="str">
        <f>F9</f>
        <v>175W MH</v>
      </c>
      <c r="D29" s="80" t="s">
        <v>43</v>
      </c>
      <c r="E29" s="72"/>
      <c r="F29" s="50"/>
      <c r="G29" s="235" t="s">
        <v>44</v>
      </c>
      <c r="H29" s="235"/>
      <c r="I29" s="51"/>
    </row>
    <row r="30" spans="1:10" ht="18" x14ac:dyDescent="0.2">
      <c r="A30" s="32"/>
      <c r="B30" s="52" t="s">
        <v>51</v>
      </c>
      <c r="C30" s="14">
        <f>'Input Sheet'!I9*'Input Sheet'!I10</f>
        <v>30000</v>
      </c>
      <c r="D30" s="15">
        <f>IF('Input Sheet'!I28="YES",('Input Sheet'!I26+'Input Sheet'!I30)*'Input Sheet'!I8,'Input Sheet'!I26*'Input Sheet'!I8)</f>
        <v>63750</v>
      </c>
      <c r="E30" s="73"/>
      <c r="F30" s="16" t="s">
        <v>46</v>
      </c>
      <c r="G30" s="236">
        <f>C34+C35-D34</f>
        <v>233015.36193102325</v>
      </c>
      <c r="H30" s="236"/>
      <c r="I30" s="51"/>
    </row>
    <row r="31" spans="1:10" ht="18" x14ac:dyDescent="0.2">
      <c r="A31" s="193"/>
      <c r="B31" s="52" t="s">
        <v>157</v>
      </c>
      <c r="C31" s="14">
        <v>0</v>
      </c>
      <c r="D31" s="31">
        <f>(-'Input Sheet'!I32)</f>
        <v>-7500</v>
      </c>
      <c r="E31" s="73"/>
      <c r="F31" s="16" t="s">
        <v>55</v>
      </c>
      <c r="G31" s="247">
        <f>C36</f>
        <v>272000</v>
      </c>
      <c r="H31" s="248"/>
      <c r="I31" s="51"/>
    </row>
    <row r="32" spans="1:10" ht="18" x14ac:dyDescent="0.2">
      <c r="A32" s="32"/>
      <c r="B32" s="52" t="s">
        <v>52</v>
      </c>
      <c r="C32" s="14">
        <v>0</v>
      </c>
      <c r="D32" s="31">
        <f>(-'Input Sheet'!I33)</f>
        <v>-7000</v>
      </c>
      <c r="E32" s="74"/>
      <c r="F32" s="17" t="s">
        <v>47</v>
      </c>
      <c r="G32" s="237">
        <f>SUM(G30:H31)</f>
        <v>505015.36193102325</v>
      </c>
      <c r="H32" s="237"/>
      <c r="I32" s="51"/>
      <c r="J32" s="3"/>
    </row>
    <row r="33" spans="1:12" ht="18" x14ac:dyDescent="0.2">
      <c r="A33" s="32"/>
      <c r="B33" s="52" t="s">
        <v>53</v>
      </c>
      <c r="C33" s="14">
        <f>SUM(C30:C32)</f>
        <v>30000</v>
      </c>
      <c r="D33" s="31">
        <f>SUM(D30:D32)</f>
        <v>49250</v>
      </c>
      <c r="E33" s="73"/>
      <c r="F33" s="75" t="s">
        <v>45</v>
      </c>
      <c r="G33" s="238">
        <f>-D30</f>
        <v>-63750</v>
      </c>
      <c r="H33" s="239"/>
      <c r="I33" s="51"/>
      <c r="J33" s="3"/>
      <c r="K33" s="53"/>
    </row>
    <row r="34" spans="1:12" ht="18" x14ac:dyDescent="0.2">
      <c r="A34" s="32"/>
      <c r="B34" s="52" t="s">
        <v>143</v>
      </c>
      <c r="C34" s="14">
        <f>F12</f>
        <v>224639.99999999994</v>
      </c>
      <c r="D34" s="15">
        <f>H12</f>
        <v>46169.999999999993</v>
      </c>
      <c r="E34" s="73"/>
      <c r="F34" s="75" t="s">
        <v>145</v>
      </c>
      <c r="G34" s="240">
        <f>'Input Sheet'!I32</f>
        <v>7500</v>
      </c>
      <c r="H34" s="241"/>
      <c r="I34" s="54"/>
      <c r="J34" s="3"/>
      <c r="K34" s="55"/>
    </row>
    <row r="35" spans="1:12" ht="18" x14ac:dyDescent="0.2">
      <c r="A35" s="179"/>
      <c r="B35" s="52" t="s">
        <v>144</v>
      </c>
      <c r="C35" s="14">
        <f>H14*H19</f>
        <v>54545.361931023297</v>
      </c>
      <c r="D35" s="15">
        <v>0</v>
      </c>
      <c r="E35" s="73"/>
      <c r="F35" s="75" t="s">
        <v>50</v>
      </c>
      <c r="G35" s="240">
        <f>'Input Sheet'!I33</f>
        <v>7000</v>
      </c>
      <c r="H35" s="241"/>
      <c r="I35" s="54"/>
      <c r="J35" s="3"/>
      <c r="K35" s="55"/>
    </row>
    <row r="36" spans="1:12" ht="18" x14ac:dyDescent="0.2">
      <c r="A36" s="32"/>
      <c r="B36" s="52" t="s">
        <v>91</v>
      </c>
      <c r="C36" s="14">
        <f>H24</f>
        <v>272000</v>
      </c>
      <c r="D36" s="15">
        <v>0</v>
      </c>
      <c r="E36" s="72"/>
      <c r="F36" s="17" t="s">
        <v>48</v>
      </c>
      <c r="G36" s="237">
        <f>SUM(G32:H35)</f>
        <v>455765.36193102325</v>
      </c>
      <c r="H36" s="237"/>
      <c r="I36" s="54"/>
      <c r="J36" s="3"/>
    </row>
    <row r="37" spans="1:12" ht="18" x14ac:dyDescent="0.2">
      <c r="A37" s="32"/>
      <c r="B37" s="17" t="s">
        <v>36</v>
      </c>
      <c r="C37" s="18">
        <f>SUM(C33:C36)</f>
        <v>581185.36193102319</v>
      </c>
      <c r="D37" s="18">
        <f>SUM(D33:D36)</f>
        <v>95420</v>
      </c>
      <c r="E37" s="198"/>
      <c r="F37" s="198"/>
      <c r="G37" s="198"/>
      <c r="H37" s="198"/>
      <c r="I37" s="199"/>
      <c r="J37" s="3"/>
      <c r="L37" s="159"/>
    </row>
    <row r="38" spans="1:12" ht="17.25" customHeight="1" x14ac:dyDescent="0.2">
      <c r="A38" s="32"/>
      <c r="B38" s="17"/>
      <c r="C38" s="39"/>
      <c r="D38" s="39"/>
      <c r="E38" s="72"/>
      <c r="F38" s="17"/>
      <c r="G38" s="40"/>
      <c r="H38" s="40"/>
      <c r="I38" s="54"/>
      <c r="J38" s="3"/>
      <c r="K38" s="45"/>
      <c r="L38" s="159"/>
    </row>
    <row r="39" spans="1:12" ht="18" x14ac:dyDescent="0.2">
      <c r="A39" s="154"/>
      <c r="B39" s="258" t="s">
        <v>90</v>
      </c>
      <c r="C39" s="259"/>
      <c r="D39" s="259"/>
      <c r="E39" s="259"/>
      <c r="F39" s="260"/>
      <c r="G39" s="245">
        <f>(D33-C33)/(G32/H19)</f>
        <v>0.5235941257549166</v>
      </c>
      <c r="H39" s="246"/>
      <c r="I39" s="54"/>
      <c r="J39" s="3"/>
    </row>
    <row r="40" spans="1:12" ht="18" x14ac:dyDescent="0.2">
      <c r="A40" s="76"/>
      <c r="B40" s="258" t="s">
        <v>58</v>
      </c>
      <c r="C40" s="259"/>
      <c r="D40" s="259"/>
      <c r="E40" s="259"/>
      <c r="F40" s="260"/>
      <c r="G40" s="245">
        <f>D33/(G32/H19)</f>
        <v>1.3395849710872543</v>
      </c>
      <c r="H40" s="246"/>
      <c r="I40" s="77"/>
      <c r="J40" s="3"/>
      <c r="K40" s="45"/>
    </row>
    <row r="41" spans="1:12" ht="18" x14ac:dyDescent="0.2">
      <c r="A41" s="32"/>
      <c r="B41" s="10"/>
      <c r="C41" s="56"/>
      <c r="D41" s="56"/>
      <c r="E41" s="72"/>
      <c r="F41" s="78"/>
      <c r="G41" s="57"/>
      <c r="H41" s="58"/>
      <c r="I41" s="54"/>
      <c r="J41" s="3"/>
    </row>
    <row r="42" spans="1:12" ht="18" x14ac:dyDescent="0.2">
      <c r="A42" s="32"/>
      <c r="B42" s="33"/>
      <c r="C42" s="33"/>
      <c r="D42" s="59"/>
      <c r="E42" s="59"/>
      <c r="F42" s="59"/>
      <c r="G42" s="59"/>
      <c r="H42" s="59"/>
      <c r="I42" s="54"/>
      <c r="J42" s="3"/>
      <c r="K42" s="60"/>
    </row>
    <row r="43" spans="1:12" ht="18" x14ac:dyDescent="0.2">
      <c r="A43" s="32"/>
      <c r="B43" s="33"/>
      <c r="C43" s="33"/>
      <c r="D43" s="33"/>
      <c r="E43" s="33"/>
      <c r="F43" s="50"/>
      <c r="G43" s="50"/>
      <c r="H43" s="56"/>
      <c r="I43" s="54"/>
      <c r="J43" s="3"/>
      <c r="K43" s="61"/>
      <c r="L43" s="62"/>
    </row>
    <row r="44" spans="1:12" ht="18" x14ac:dyDescent="0.2">
      <c r="A44" s="32"/>
      <c r="B44" s="33"/>
      <c r="C44" s="33"/>
      <c r="D44" s="33"/>
      <c r="E44" s="33"/>
      <c r="F44" s="50"/>
      <c r="G44" s="50"/>
      <c r="H44" s="56"/>
      <c r="I44" s="54"/>
      <c r="J44" s="3"/>
      <c r="K44" s="60"/>
    </row>
    <row r="45" spans="1:12" ht="12.75" customHeight="1" x14ac:dyDescent="0.2">
      <c r="A45" s="32"/>
      <c r="B45" s="33"/>
      <c r="C45" s="33"/>
      <c r="D45" s="33"/>
      <c r="E45" s="33"/>
      <c r="F45" s="50"/>
      <c r="G45" s="50"/>
      <c r="H45" s="56"/>
      <c r="I45" s="54"/>
      <c r="J45" s="3"/>
      <c r="K45" s="60"/>
    </row>
    <row r="46" spans="1:12" ht="18" x14ac:dyDescent="0.2">
      <c r="A46" s="32"/>
      <c r="B46" s="33"/>
      <c r="C46" s="33"/>
      <c r="D46" s="33"/>
      <c r="E46" s="33"/>
      <c r="F46" s="50"/>
      <c r="G46" s="50"/>
      <c r="H46" s="56"/>
      <c r="I46" s="54"/>
      <c r="J46" s="3"/>
    </row>
    <row r="47" spans="1:12" ht="18" x14ac:dyDescent="0.2">
      <c r="A47" s="32"/>
      <c r="B47" s="33"/>
      <c r="C47" s="33"/>
      <c r="D47" s="33"/>
      <c r="E47" s="33"/>
      <c r="F47" s="50"/>
      <c r="G47" s="50"/>
      <c r="H47" s="56"/>
      <c r="I47" s="54"/>
      <c r="J47" s="3"/>
    </row>
    <row r="48" spans="1:12" ht="18" x14ac:dyDescent="0.2">
      <c r="A48" s="32"/>
      <c r="B48" s="33"/>
      <c r="C48" s="33"/>
      <c r="D48" s="33"/>
      <c r="E48" s="33"/>
      <c r="F48" s="50"/>
      <c r="G48" s="50"/>
      <c r="H48" s="56"/>
      <c r="I48" s="54"/>
      <c r="J48" s="3"/>
    </row>
    <row r="49" spans="1:16" ht="18" x14ac:dyDescent="0.2">
      <c r="A49" s="32"/>
      <c r="B49" s="33"/>
      <c r="C49" s="33"/>
      <c r="D49" s="33"/>
      <c r="E49" s="33"/>
      <c r="F49" s="50"/>
      <c r="G49" s="50"/>
      <c r="H49" s="56"/>
      <c r="I49" s="54"/>
      <c r="J49" s="3"/>
      <c r="P49" s="79" t="s">
        <v>57</v>
      </c>
    </row>
    <row r="50" spans="1:16" ht="18" x14ac:dyDescent="0.2">
      <c r="A50" s="32"/>
      <c r="B50" s="33"/>
      <c r="C50" s="33"/>
      <c r="D50" s="33"/>
      <c r="E50" s="33"/>
      <c r="F50" s="50"/>
      <c r="G50" s="50"/>
      <c r="H50" s="56"/>
      <c r="I50" s="54"/>
      <c r="J50" s="3"/>
    </row>
    <row r="51" spans="1:16" ht="18" x14ac:dyDescent="0.2">
      <c r="A51" s="32"/>
      <c r="B51" s="33"/>
      <c r="C51" s="33"/>
      <c r="D51" s="33"/>
      <c r="E51" s="33"/>
      <c r="F51" s="50"/>
      <c r="G51" s="50"/>
      <c r="H51" s="56"/>
      <c r="I51" s="54"/>
      <c r="J51" s="3"/>
    </row>
    <row r="52" spans="1:16" ht="12" customHeight="1" x14ac:dyDescent="0.2">
      <c r="A52" s="32"/>
      <c r="B52" s="33"/>
      <c r="C52" s="33"/>
      <c r="D52" s="33"/>
      <c r="E52" s="33"/>
      <c r="F52" s="50"/>
      <c r="G52" s="50"/>
      <c r="H52" s="56"/>
      <c r="I52" s="54"/>
    </row>
    <row r="53" spans="1:16" ht="5.25" customHeight="1" x14ac:dyDescent="0.2">
      <c r="A53" s="32"/>
      <c r="B53" s="33"/>
      <c r="C53" s="33"/>
      <c r="D53" s="33"/>
      <c r="E53" s="33"/>
      <c r="F53" s="50"/>
      <c r="G53" s="50"/>
      <c r="H53" s="56"/>
      <c r="I53" s="54"/>
      <c r="J53" s="63"/>
      <c r="K53" s="60"/>
    </row>
    <row r="54" spans="1:16" ht="20.25" customHeight="1" x14ac:dyDescent="0.2">
      <c r="A54" s="32"/>
      <c r="B54" s="33"/>
      <c r="C54" s="33"/>
      <c r="D54" s="33"/>
      <c r="E54" s="33"/>
      <c r="F54" s="33"/>
      <c r="G54" s="33"/>
      <c r="H54" s="64"/>
      <c r="I54" s="65"/>
      <c r="J54" s="63"/>
      <c r="K54" s="60"/>
    </row>
    <row r="55" spans="1:16" s="60" customFormat="1" ht="21.95" customHeight="1" x14ac:dyDescent="0.2">
      <c r="A55" s="66"/>
      <c r="B55" s="67"/>
      <c r="C55" s="68"/>
      <c r="D55" s="69"/>
      <c r="E55" s="69"/>
      <c r="F55" s="69"/>
      <c r="G55" s="67"/>
      <c r="H55" s="67"/>
      <c r="I55" s="70"/>
      <c r="J55" s="63"/>
    </row>
    <row r="56" spans="1:16" s="60" customFormat="1" ht="12.75" customHeight="1" x14ac:dyDescent="0.2">
      <c r="A56" s="30"/>
      <c r="B56" s="30"/>
      <c r="C56" s="2"/>
      <c r="D56" s="71"/>
      <c r="E56" s="71"/>
      <c r="F56" s="71"/>
      <c r="G56" s="30"/>
      <c r="H56" s="30"/>
      <c r="I56" s="30"/>
    </row>
    <row r="57" spans="1:16" ht="21" customHeight="1" x14ac:dyDescent="0.2">
      <c r="A57" s="242" t="s">
        <v>12</v>
      </c>
      <c r="B57" s="243"/>
      <c r="C57" s="243"/>
      <c r="D57" s="243"/>
      <c r="E57" s="243"/>
      <c r="F57" s="243"/>
      <c r="G57" s="243"/>
      <c r="H57" s="243"/>
      <c r="I57" s="244"/>
    </row>
    <row r="58" spans="1:16" ht="6.75" customHeight="1" x14ac:dyDescent="0.2">
      <c r="A58" s="19"/>
      <c r="B58" s="20"/>
      <c r="C58" s="20"/>
      <c r="D58" s="20"/>
      <c r="E58" s="21"/>
      <c r="F58" s="21"/>
      <c r="G58" s="22"/>
      <c r="H58" s="23"/>
      <c r="I58" s="24"/>
    </row>
    <row r="59" spans="1:16" ht="16.5" customHeight="1" x14ac:dyDescent="0.2">
      <c r="A59" s="233" t="s">
        <v>9</v>
      </c>
      <c r="B59" s="234"/>
      <c r="C59" s="7">
        <f>(F12-H12)*1.54</f>
        <v>274843.79999999993</v>
      </c>
      <c r="D59" s="36"/>
      <c r="E59" s="234" t="s">
        <v>7</v>
      </c>
      <c r="F59" s="234"/>
      <c r="G59" s="234"/>
      <c r="H59" s="8">
        <f>C59/11470</f>
        <v>23.961970357454224</v>
      </c>
      <c r="I59" s="34"/>
    </row>
    <row r="60" spans="1:16" ht="16.5" customHeight="1" x14ac:dyDescent="0.2">
      <c r="A60" s="233" t="s">
        <v>10</v>
      </c>
      <c r="B60" s="234"/>
      <c r="C60" s="7">
        <f>C59/2000</f>
        <v>137.42189999999997</v>
      </c>
      <c r="D60" s="36"/>
      <c r="E60" s="37"/>
      <c r="F60" s="37"/>
      <c r="G60" s="37"/>
      <c r="H60" s="9"/>
      <c r="I60" s="34"/>
    </row>
    <row r="61" spans="1:16" ht="17.25" customHeight="1" x14ac:dyDescent="0.2">
      <c r="A61" s="35"/>
      <c r="B61" s="36"/>
      <c r="C61" s="25"/>
      <c r="D61" s="36"/>
      <c r="E61" s="234" t="s">
        <v>8</v>
      </c>
      <c r="F61" s="234"/>
      <c r="G61" s="234"/>
      <c r="H61" s="11">
        <f>C59/8066</f>
        <v>34.074361517480774</v>
      </c>
      <c r="I61" s="34"/>
    </row>
    <row r="62" spans="1:16" ht="15.75" customHeight="1" x14ac:dyDescent="0.2">
      <c r="A62" s="233" t="s">
        <v>11</v>
      </c>
      <c r="B62" s="234"/>
      <c r="C62" s="7">
        <f>C59/2.06</f>
        <v>133419.32038834947</v>
      </c>
      <c r="D62" s="37"/>
      <c r="E62" s="10"/>
      <c r="F62" s="10"/>
      <c r="G62" s="10"/>
      <c r="H62" s="9"/>
      <c r="I62" s="34"/>
    </row>
    <row r="63" spans="1:16" ht="18" x14ac:dyDescent="0.2">
      <c r="A63" s="233" t="s">
        <v>10</v>
      </c>
      <c r="B63" s="234"/>
      <c r="C63" s="7">
        <f>C62/2000</f>
        <v>66.709660194174731</v>
      </c>
      <c r="D63" s="37"/>
      <c r="E63" s="10"/>
      <c r="F63" s="10"/>
      <c r="G63" s="10" t="s">
        <v>49</v>
      </c>
      <c r="H63" s="11">
        <f>C59/10660</f>
        <v>25.78272045028142</v>
      </c>
      <c r="I63" s="34"/>
    </row>
    <row r="64" spans="1:16" ht="6" customHeight="1" x14ac:dyDescent="0.2">
      <c r="A64" s="26"/>
      <c r="B64" s="27"/>
      <c r="C64" s="28"/>
      <c r="D64" s="27"/>
      <c r="E64" s="12"/>
      <c r="F64" s="12"/>
      <c r="G64" s="12"/>
      <c r="H64" s="13"/>
      <c r="I64" s="6"/>
    </row>
    <row r="65" spans="1:9" x14ac:dyDescent="0.2">
      <c r="A65" s="29" t="s">
        <v>6</v>
      </c>
      <c r="B65" s="30"/>
      <c r="C65" s="30"/>
      <c r="D65" s="30"/>
      <c r="E65" s="30"/>
      <c r="F65" s="30"/>
      <c r="G65" s="30"/>
      <c r="H65" s="30"/>
      <c r="I65" s="30"/>
    </row>
  </sheetData>
  <sheetProtection password="D833" sheet="1" objects="1" scenarios="1"/>
  <mergeCells count="65">
    <mergeCell ref="A20:E20"/>
    <mergeCell ref="A15:E15"/>
    <mergeCell ref="H24:I24"/>
    <mergeCell ref="F9:G9"/>
    <mergeCell ref="A23:E23"/>
    <mergeCell ref="H15:I15"/>
    <mergeCell ref="F19:G19"/>
    <mergeCell ref="H19:I19"/>
    <mergeCell ref="F12:G12"/>
    <mergeCell ref="H16:I16"/>
    <mergeCell ref="H23:I23"/>
    <mergeCell ref="A18:E18"/>
    <mergeCell ref="F18:G18"/>
    <mergeCell ref="H18:I18"/>
    <mergeCell ref="F22:G22"/>
    <mergeCell ref="A22:E22"/>
    <mergeCell ref="G4:I5"/>
    <mergeCell ref="A6:I6"/>
    <mergeCell ref="A7:I7"/>
    <mergeCell ref="A19:E19"/>
    <mergeCell ref="A12:E12"/>
    <mergeCell ref="A8:I8"/>
    <mergeCell ref="A10:E10"/>
    <mergeCell ref="A9:E9"/>
    <mergeCell ref="A11:E11"/>
    <mergeCell ref="H10:I10"/>
    <mergeCell ref="A13:E13"/>
    <mergeCell ref="F13:G13"/>
    <mergeCell ref="H13:I13"/>
    <mergeCell ref="A14:E14"/>
    <mergeCell ref="F14:G14"/>
    <mergeCell ref="H14:I14"/>
    <mergeCell ref="H22:I22"/>
    <mergeCell ref="F11:G11"/>
    <mergeCell ref="H9:I9"/>
    <mergeCell ref="F10:G10"/>
    <mergeCell ref="H11:I11"/>
    <mergeCell ref="H12:I12"/>
    <mergeCell ref="F20:G20"/>
    <mergeCell ref="H20:I20"/>
    <mergeCell ref="F21:G21"/>
    <mergeCell ref="H21:I21"/>
    <mergeCell ref="F23:G24"/>
    <mergeCell ref="A27:I27"/>
    <mergeCell ref="A24:E24"/>
    <mergeCell ref="A28:I28"/>
    <mergeCell ref="B40:F40"/>
    <mergeCell ref="B39:F39"/>
    <mergeCell ref="G39:H39"/>
    <mergeCell ref="G35:H35"/>
    <mergeCell ref="A62:B62"/>
    <mergeCell ref="A63:B63"/>
    <mergeCell ref="G29:H29"/>
    <mergeCell ref="G30:H30"/>
    <mergeCell ref="G32:H32"/>
    <mergeCell ref="G33:H33"/>
    <mergeCell ref="G34:H34"/>
    <mergeCell ref="G36:H36"/>
    <mergeCell ref="A57:I57"/>
    <mergeCell ref="A59:B59"/>
    <mergeCell ref="E61:G61"/>
    <mergeCell ref="E59:G59"/>
    <mergeCell ref="G40:H40"/>
    <mergeCell ref="A60:B60"/>
    <mergeCell ref="G31:H31"/>
  </mergeCells>
  <phoneticPr fontId="2" type="noConversion"/>
  <printOptions horizontalCentered="1"/>
  <pageMargins left="0.25" right="0.25" top="0.25" bottom="0.25" header="0.25" footer="0.25"/>
  <pageSetup scale="7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Sheet</vt:lpstr>
      <vt:lpstr>Total Cost of Ownership Summary</vt:lpstr>
      <vt:lpstr>'Total Cost of Ownership Summary'!Print_Area</vt:lpstr>
    </vt:vector>
  </TitlesOfParts>
  <Company>Cooper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e3a4a</dc:creator>
  <cp:lastModifiedBy>Correll, Michael A</cp:lastModifiedBy>
  <cp:lastPrinted>2012-11-28T17:27:37Z</cp:lastPrinted>
  <dcterms:created xsi:type="dcterms:W3CDTF">2008-10-01T17:35:03Z</dcterms:created>
  <dcterms:modified xsi:type="dcterms:W3CDTF">2020-01-21T16:29:28Z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